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1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
    </mc:Choice>
  </mc:AlternateContent>
  <xr:revisionPtr revIDLastSave="0" documentId="8_{90B3A142-F9DC-475C-A276-B1F2D86E3435}" xr6:coauthVersionLast="47" xr6:coauthVersionMax="47" xr10:uidLastSave="{00000000-0000-0000-0000-000000000000}"/>
  <bookViews>
    <workbookView xWindow="-120" yWindow="-120" windowWidth="29040" windowHeight="15720" tabRatio="749" activeTab="1"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BC29" i="3"/>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C31" i="45"/>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BL9" i="3" s="1"/>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35" i="3" l="1"/>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46" i="3"/>
  <c r="X111" i="3"/>
  <c r="Y95" i="3"/>
  <c r="Y49" i="3"/>
  <c r="X15" i="3"/>
  <c r="X108" i="3"/>
  <c r="Y96" i="3"/>
  <c r="Y14" i="3"/>
  <c r="X53" i="3"/>
  <c r="X115" i="3"/>
  <c r="Y76" i="3"/>
  <c r="Y116" i="3"/>
  <c r="X131" i="3"/>
  <c r="Y102" i="3"/>
  <c r="Y104" i="3"/>
  <c r="X24" i="3"/>
  <c r="X125" i="3"/>
  <c r="Y121" i="3"/>
  <c r="Y61" i="3"/>
  <c r="X38" i="3"/>
  <c r="X89" i="3"/>
  <c r="X65" i="3"/>
  <c r="Y25" i="3"/>
  <c r="Y17" i="3"/>
  <c r="X48" i="3"/>
  <c r="X123" i="3"/>
  <c r="Y143" i="3"/>
  <c r="Y7" i="3"/>
  <c r="Y133" i="3"/>
  <c r="X122" i="3"/>
  <c r="Y113" i="3"/>
  <c r="Y56" i="3"/>
  <c r="Y9" i="3"/>
  <c r="X124" i="3"/>
  <c r="X138" i="3"/>
  <c r="X47" i="3"/>
  <c r="X62" i="3"/>
  <c r="X106" i="3"/>
  <c r="Y21" i="3"/>
  <c r="X78" i="3"/>
  <c r="Y103" i="3"/>
  <c r="X126" i="3"/>
  <c r="X101" i="3"/>
  <c r="Y28" i="3"/>
  <c r="Y110" i="3"/>
  <c r="Y94" i="3"/>
  <c r="Y16" i="3"/>
  <c r="X79" i="3"/>
  <c r="Y77" i="3"/>
  <c r="X44" i="3"/>
  <c r="X55" i="3"/>
  <c r="X97" i="3"/>
  <c r="Y86" i="3"/>
  <c r="Y4" i="3"/>
  <c r="Y45" i="3"/>
  <c r="Y92" i="3"/>
  <c r="Y85" i="3"/>
  <c r="X13" i="3"/>
  <c r="X107" i="3"/>
  <c r="Y6" i="3"/>
  <c r="X68" i="3"/>
  <c r="X63" i="3"/>
  <c r="X64" i="3"/>
  <c r="Y120" i="3"/>
  <c r="X5" i="3"/>
  <c r="Y8" i="3"/>
  <c r="X20" i="3"/>
  <c r="Y23" i="3"/>
  <c r="Y139" i="3"/>
  <c r="Y127" i="3"/>
  <c r="Y30" i="3"/>
  <c r="Y114" i="3"/>
  <c r="Y41" i="3"/>
  <c r="X57" i="3"/>
  <c r="X134" i="3"/>
  <c r="X32" i="3"/>
  <c r="X54" i="3"/>
  <c r="Y12" i="3"/>
  <c r="Y88" i="3"/>
  <c r="X93" i="3"/>
  <c r="Y84" i="3"/>
  <c r="X60" i="3"/>
  <c r="X80" i="3"/>
  <c r="Y33" i="3"/>
  <c r="X69" i="3"/>
  <c r="Y112" i="3" l="1"/>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F96" i="3"/>
  <c r="E94" i="3"/>
  <c r="BW52" i="3" s="1"/>
  <c r="E69" i="3"/>
  <c r="E33" i="3"/>
  <c r="F70" i="3"/>
  <c r="F28" i="3"/>
  <c r="F24" i="3"/>
  <c r="E23" i="3"/>
  <c r="E20" i="3"/>
  <c r="E96" i="3"/>
  <c r="BW50" i="3" s="1"/>
  <c r="F93" i="3"/>
  <c r="E95" i="3"/>
  <c r="BU51" i="3" s="1"/>
  <c r="BU53" i="3"/>
  <c r="E47" i="3"/>
  <c r="E49" i="3"/>
  <c r="F45" i="3"/>
  <c r="E37" i="3"/>
  <c r="F40" i="3"/>
  <c r="BU23" i="3" s="1"/>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BU22" i="3" s="1"/>
  <c r="E40" i="3"/>
  <c r="F48" i="3"/>
  <c r="BU27" i="3" s="1"/>
  <c r="BU28" i="3"/>
  <c r="F46" i="3"/>
  <c r="BW28" i="3"/>
  <c r="E45" i="3"/>
  <c r="F92" i="3"/>
  <c r="F95" i="3"/>
  <c r="BW53" i="3" s="1"/>
  <c r="E97" i="3"/>
  <c r="BV52" i="3" s="1"/>
  <c r="F81" i="3"/>
  <c r="E76" i="3"/>
  <c r="E78" i="3"/>
  <c r="BW44" i="3" s="1"/>
  <c r="E48" i="3"/>
  <c r="F44" i="3"/>
  <c r="F47" i="3"/>
  <c r="E38" i="3"/>
  <c r="BW24" i="3" s="1"/>
  <c r="BW22" i="3"/>
  <c r="F41" i="3"/>
  <c r="BU25" i="3" s="1"/>
  <c r="E36" i="3"/>
  <c r="BW23" i="3" s="1"/>
  <c r="E39" i="3"/>
  <c r="F37" i="3"/>
  <c r="BU24" i="3" s="1"/>
  <c r="E41" i="3"/>
  <c r="BW34" i="3"/>
  <c r="E62" i="3"/>
  <c r="E60" i="3"/>
  <c r="F65" i="3"/>
  <c r="E87" i="3"/>
  <c r="E88" i="3"/>
  <c r="BW46" i="3" s="1"/>
  <c r="F85" i="3"/>
  <c r="BU48" i="3" s="1"/>
  <c r="E14" i="3"/>
  <c r="F13" i="3"/>
  <c r="BU12" i="3" s="1"/>
  <c r="E16" i="3"/>
  <c r="BW10" i="3" s="1"/>
  <c r="F17" i="3"/>
  <c r="BU11" i="3" s="1"/>
  <c r="F15" i="3"/>
  <c r="E13" i="3"/>
  <c r="BW13" i="3" s="1"/>
  <c r="E4" i="3"/>
  <c r="E7" i="3"/>
  <c r="F8" i="3"/>
  <c r="BU26" i="3"/>
  <c r="E44" i="3"/>
  <c r="BW27" i="3" s="1"/>
  <c r="E46" i="3"/>
  <c r="BW26" i="3"/>
  <c r="F49" i="3"/>
  <c r="BU29" i="3" s="1"/>
  <c r="E73" i="3"/>
  <c r="F68" i="3"/>
  <c r="F71" i="3"/>
  <c r="E71" i="3"/>
  <c r="E72" i="3"/>
  <c r="F69" i="3"/>
  <c r="E55" i="3"/>
  <c r="E57" i="3"/>
  <c r="F55" i="3"/>
  <c r="BU33" i="3" s="1"/>
  <c r="BU31" i="3"/>
  <c r="F52" i="3"/>
  <c r="BU30" i="3" s="1"/>
  <c r="F25" i="3"/>
  <c r="BW15" i="3" s="1"/>
  <c r="E21" i="3"/>
  <c r="BU17" i="3" s="1"/>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E80" i="3"/>
  <c r="BU43" i="3"/>
  <c r="F76" i="3"/>
  <c r="BW42" i="3" s="1"/>
  <c r="F80" i="3"/>
  <c r="BW43" i="3" s="1"/>
  <c r="E77" i="3"/>
  <c r="BW45" i="3" s="1"/>
  <c r="F78" i="3"/>
  <c r="BU42" i="3" s="1"/>
  <c r="BU44" i="3"/>
  <c r="BW36" i="3"/>
  <c r="E61" i="3"/>
  <c r="BW37" i="3" s="1"/>
  <c r="F62" i="3"/>
  <c r="BU34" i="3" s="1"/>
  <c r="BU36" i="3"/>
  <c r="F64" i="3"/>
  <c r="BU35" i="3" s="1"/>
  <c r="F72" i="3"/>
  <c r="BU41" i="3" s="1"/>
  <c r="E68" i="3"/>
  <c r="BW39" i="3" s="1"/>
  <c r="BW38" i="3"/>
  <c r="BU38" i="3"/>
  <c r="E70" i="3"/>
  <c r="BW41" i="3" l="1"/>
  <c r="BU39" i="3"/>
  <c r="BW40" i="3"/>
  <c r="BW35" i="3"/>
  <c r="BU37" i="3"/>
  <c r="BW29" i="3"/>
  <c r="BW25" i="3"/>
  <c r="BU21" i="3"/>
  <c r="BV50" i="3"/>
  <c r="BV51" i="3"/>
  <c r="BV53" i="3"/>
  <c r="BV30" i="3"/>
  <c r="BX30" i="3" s="1"/>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X17" i="3" s="1"/>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X37" i="3" s="1"/>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X53" i="3"/>
  <c r="BX51" i="3"/>
  <c r="BV9" i="3"/>
  <c r="BV8" i="3"/>
  <c r="BV6" i="3"/>
  <c r="BW49" i="3"/>
  <c r="BW31" i="3"/>
  <c r="BW47" i="3"/>
  <c r="BX32" i="3"/>
  <c r="BX50" i="3" l="1"/>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1" i="3"/>
  <c r="I23" i="3"/>
  <c r="H25" i="3"/>
  <c r="I22" i="3"/>
  <c r="I20" i="3"/>
  <c r="H8" i="3"/>
  <c r="H6" i="3"/>
  <c r="I5" i="3"/>
  <c r="H78" i="3"/>
  <c r="I24" i="3"/>
  <c r="H23" i="3"/>
  <c r="H20" i="3"/>
  <c r="H87" i="3" l="1"/>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CA13" i="3" s="1"/>
  <c r="H12" i="3"/>
  <c r="I33" i="3"/>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B14" i="3"/>
  <c r="CA14" i="3"/>
  <c r="CB19" i="3" l="1"/>
  <c r="CB53" i="3"/>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C13" i="3" s="1"/>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45" i="3" l="1"/>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12" i="3"/>
  <c r="L13" i="3"/>
  <c r="K14" i="3"/>
  <c r="L87" i="3"/>
  <c r="K24" i="3"/>
  <c r="CF48" i="3" l="1"/>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5" i="3" s="1"/>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42" i="3" l="1"/>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H39" i="3"/>
  <c r="O71" i="3" s="1"/>
  <c r="CH48" i="3"/>
  <c r="O86" i="3" s="1"/>
  <c r="CH23" i="3"/>
  <c r="O39" i="3" s="1"/>
  <c r="CH22" i="3"/>
  <c r="N38" i="3" s="1"/>
  <c r="CH35" i="3"/>
  <c r="N64" i="3" s="1"/>
  <c r="CH49" i="3"/>
  <c r="O85" i="3" s="1"/>
  <c r="CH46" i="3"/>
  <c r="O88" i="3" s="1"/>
  <c r="CH24" i="3"/>
  <c r="O38" i="3" s="1"/>
  <c r="CH8" i="3"/>
  <c r="O7" i="3" s="1"/>
  <c r="CH32" i="3"/>
  <c r="CI32" i="3" s="1"/>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I17" i="3" s="1"/>
  <c r="CH15" i="3"/>
  <c r="CH9" i="3"/>
  <c r="CH12" i="3"/>
  <c r="O17" i="3" s="1"/>
  <c r="CH19" i="3"/>
  <c r="O28" i="3" s="1"/>
  <c r="CH26" i="3"/>
  <c r="CH40" i="3"/>
  <c r="CH11" i="3"/>
  <c r="O12" i="3" s="1"/>
  <c r="CH14" i="3"/>
  <c r="CH13" i="3"/>
  <c r="O13" i="3" s="1"/>
  <c r="O94" i="3"/>
  <c r="N56" i="3"/>
  <c r="CI36" i="3"/>
  <c r="N61" i="3"/>
  <c r="O64" i="3"/>
  <c r="N79" i="3"/>
  <c r="N96" i="3"/>
  <c r="O97" i="3"/>
  <c r="O95" i="3"/>
  <c r="O93" i="3"/>
  <c r="O44" i="3"/>
  <c r="N95" i="3"/>
  <c r="O47" i="3"/>
  <c r="CI42" i="3" l="1"/>
  <c r="CI26" i="3"/>
  <c r="CI27" i="3"/>
  <c r="CI51" i="3"/>
  <c r="N29" i="3"/>
  <c r="CJ50" i="3"/>
  <c r="CI22" i="3"/>
  <c r="O55" i="3"/>
  <c r="O33" i="3"/>
  <c r="CJ19" i="3" s="1"/>
  <c r="N9" i="3"/>
  <c r="N36" i="3"/>
  <c r="O41" i="3"/>
  <c r="O4" i="3"/>
  <c r="O69" i="3"/>
  <c r="CK40" i="3" s="1"/>
  <c r="CI35" i="3"/>
  <c r="N72" i="3"/>
  <c r="CK21" i="3"/>
  <c r="O30" i="3"/>
  <c r="N32" i="3"/>
  <c r="CJ18" i="3" s="1"/>
  <c r="N7" i="3"/>
  <c r="O29" i="3"/>
  <c r="N49" i="3"/>
  <c r="N52" i="3"/>
  <c r="CK24" i="3"/>
  <c r="N54" i="3"/>
  <c r="N37" i="3"/>
  <c r="CI10" i="3"/>
  <c r="N8" i="3"/>
  <c r="CI6" i="3" s="1"/>
  <c r="CK22" i="3"/>
  <c r="CK41" i="3"/>
  <c r="O52" i="3"/>
  <c r="N97" i="3"/>
  <c r="O77" i="3"/>
  <c r="CI44" i="3" s="1"/>
  <c r="N80" i="3"/>
  <c r="N55" i="3"/>
  <c r="N81" i="3"/>
  <c r="N84" i="3"/>
  <c r="CI45" i="3"/>
  <c r="O5" i="3"/>
  <c r="N47" i="3"/>
  <c r="CK46" i="3"/>
  <c r="O53" i="3"/>
  <c r="O79" i="3"/>
  <c r="N6" i="3"/>
  <c r="N86" i="3"/>
  <c r="O32" i="3"/>
  <c r="CI12" i="3"/>
  <c r="CI43" i="3"/>
  <c r="N88" i="3"/>
  <c r="N30" i="3"/>
  <c r="CI25" i="3"/>
  <c r="CK6" i="3"/>
  <c r="CK18" i="3"/>
  <c r="CI18" i="3"/>
  <c r="CK25" i="3"/>
  <c r="N73" i="3"/>
  <c r="CI15" i="3"/>
  <c r="N15" i="3"/>
  <c r="CI11" i="3"/>
  <c r="O96" i="3"/>
  <c r="CJ53" i="3" s="1"/>
  <c r="CL53" i="3" s="1"/>
  <c r="CK34" i="3"/>
  <c r="CK8" i="3"/>
  <c r="CI39" i="3"/>
  <c r="CK30" i="3"/>
  <c r="N68" i="3"/>
  <c r="CK50" i="3"/>
  <c r="O40" i="3"/>
  <c r="O15" i="3"/>
  <c r="N65" i="3"/>
  <c r="O9" i="3"/>
  <c r="CI7" i="3" s="1"/>
  <c r="CI23" i="3"/>
  <c r="O36" i="3"/>
  <c r="CJ22" i="3" s="1"/>
  <c r="CK23" i="3"/>
  <c r="O61" i="3"/>
  <c r="CI8" i="3"/>
  <c r="CI47" i="3"/>
  <c r="CK37" i="3"/>
  <c r="N13" i="3"/>
  <c r="O68" i="3"/>
  <c r="O57" i="3"/>
  <c r="O65" i="3"/>
  <c r="N40" i="3"/>
  <c r="O31" i="3"/>
  <c r="CJ21" i="3" s="1"/>
  <c r="N92" i="3"/>
  <c r="CK51" i="3" s="1"/>
  <c r="CK12" i="3"/>
  <c r="N77" i="3"/>
  <c r="CK44" i="3"/>
  <c r="CI19" i="3"/>
  <c r="CI50" i="3"/>
  <c r="O25" i="3"/>
  <c r="O37" i="3"/>
  <c r="CI24" i="3" s="1"/>
  <c r="N5" i="3"/>
  <c r="O72" i="3"/>
  <c r="CI38" i="3"/>
  <c r="O84" i="3"/>
  <c r="CI46" i="3" s="1"/>
  <c r="CK39" i="3"/>
  <c r="O87" i="3"/>
  <c r="N60" i="3"/>
  <c r="CK35" i="3" s="1"/>
  <c r="O78" i="3"/>
  <c r="O23" i="3"/>
  <c r="N94" i="3"/>
  <c r="CK52" i="3" s="1"/>
  <c r="N39" i="3"/>
  <c r="CK38" i="3"/>
  <c r="CI52" i="3"/>
  <c r="N4" i="3"/>
  <c r="CK7" i="3" s="1"/>
  <c r="CK19" i="3"/>
  <c r="N87" i="3"/>
  <c r="N25" i="3"/>
  <c r="O22" i="3"/>
  <c r="N76" i="3"/>
  <c r="O49" i="3"/>
  <c r="CI29" i="3" s="1"/>
  <c r="N46" i="3"/>
  <c r="CJ28" i="3" s="1"/>
  <c r="N53" i="3"/>
  <c r="CI33" i="3" s="1"/>
  <c r="CK28" i="3"/>
  <c r="CK48" i="3"/>
  <c r="N85" i="3"/>
  <c r="CI49" i="3" s="1"/>
  <c r="N44" i="3"/>
  <c r="CK27" i="3" s="1"/>
  <c r="N12" i="3"/>
  <c r="O54" i="3"/>
  <c r="O89" i="3"/>
  <c r="CK47" i="3" s="1"/>
  <c r="O56" i="3"/>
  <c r="N24" i="3"/>
  <c r="O46" i="3"/>
  <c r="CI28" i="3"/>
  <c r="O21" i="3"/>
  <c r="CI16" i="3" s="1"/>
  <c r="N45" i="3"/>
  <c r="CK29" i="3" s="1"/>
  <c r="CK32" i="3"/>
  <c r="N16" i="3"/>
  <c r="CI48" i="3"/>
  <c r="CK26" i="3"/>
  <c r="CJ48" i="3"/>
  <c r="O20" i="3"/>
  <c r="CI14" i="3" s="1"/>
  <c r="N33" i="3"/>
  <c r="CK10" i="3"/>
  <c r="N69" i="3"/>
  <c r="O73" i="3"/>
  <c r="O60" i="3"/>
  <c r="CI34" i="3" s="1"/>
  <c r="O63" i="3"/>
  <c r="CI37" i="3" s="1"/>
  <c r="CI40" i="3"/>
  <c r="CK11" i="3"/>
  <c r="O70" i="3"/>
  <c r="CK17" i="3"/>
  <c r="N22" i="3"/>
  <c r="CK42" i="3"/>
  <c r="N78" i="3"/>
  <c r="O81" i="3"/>
  <c r="CI13" i="3"/>
  <c r="N14" i="3"/>
  <c r="CK13" i="3"/>
  <c r="N23" i="3"/>
  <c r="N20" i="3"/>
  <c r="CK15" i="3" s="1"/>
  <c r="O24" i="3"/>
  <c r="N17" i="3"/>
  <c r="O14" i="3"/>
  <c r="CK33" i="3"/>
  <c r="CK53" i="3"/>
  <c r="CK14" i="3"/>
  <c r="CK49" i="3"/>
  <c r="CK31" i="3"/>
  <c r="CK45" i="3" l="1"/>
  <c r="CJ43" i="3"/>
  <c r="CK43" i="3"/>
  <c r="CI41" i="3"/>
  <c r="CJ36" i="3"/>
  <c r="CL36" i="3" s="1"/>
  <c r="CK36" i="3"/>
  <c r="CI30" i="3"/>
  <c r="CI21" i="3"/>
  <c r="CI20" i="3"/>
  <c r="CK20" i="3"/>
  <c r="CK16" i="3"/>
  <c r="CJ9" i="3"/>
  <c r="CI9"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L13" i="3" s="1"/>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M45" i="3" l="1"/>
  <c r="CM50" i="3"/>
  <c r="CM46" i="3"/>
  <c r="CM53" i="3"/>
  <c r="CM48" i="3"/>
  <c r="CM16" i="3"/>
  <c r="CM40" i="3"/>
  <c r="CM30" i="3"/>
  <c r="CM17" i="3"/>
  <c r="CM15" i="3"/>
  <c r="CM34" i="3"/>
  <c r="CM31" i="3"/>
  <c r="CM33" i="3"/>
  <c r="CM47" i="3"/>
  <c r="CM22" i="3"/>
  <c r="CM43" i="3"/>
  <c r="CM21" i="3"/>
  <c r="CM35" i="3"/>
  <c r="CM18" i="3"/>
  <c r="CM49" i="3"/>
  <c r="CM20" i="3"/>
  <c r="CM44" i="3"/>
  <c r="CM14" i="3"/>
  <c r="CM26" i="3"/>
  <c r="CM38" i="3"/>
  <c r="CM42" i="3"/>
  <c r="CM19" i="3"/>
  <c r="CM28" i="3"/>
  <c r="CM24" i="3"/>
  <c r="CM11" i="3"/>
  <c r="CM13" i="3"/>
  <c r="CM12" i="3"/>
  <c r="CM10" i="3"/>
  <c r="CM32" i="3"/>
  <c r="CM9" i="3"/>
  <c r="CM8" i="3"/>
  <c r="CM7" i="3"/>
  <c r="CM6" i="3"/>
  <c r="CM29" i="3"/>
  <c r="CM39" i="3"/>
  <c r="CM41" i="3"/>
  <c r="CM51" i="3"/>
  <c r="CM36" i="3"/>
  <c r="CM27" i="3"/>
  <c r="CM25" i="3"/>
  <c r="CM23" i="3"/>
  <c r="CM52" i="3"/>
  <c r="CM37" i="3"/>
  <c r="CN11" i="3" l="1"/>
  <c r="CN25" i="3"/>
  <c r="Q39" i="3" s="1"/>
  <c r="CN36" i="3"/>
  <c r="R64" i="3" s="1"/>
  <c r="CN48" i="3"/>
  <c r="Q85" i="3" s="1"/>
  <c r="CN33" i="3"/>
  <c r="Q57" i="3" s="1"/>
  <c r="CN32" i="3"/>
  <c r="Q53" i="3" s="1"/>
  <c r="CN43" i="3"/>
  <c r="R76" i="3" s="1"/>
  <c r="CN47" i="3"/>
  <c r="Q89" i="3" s="1"/>
  <c r="CN38" i="3"/>
  <c r="Q70" i="3" s="1"/>
  <c r="CN21" i="3"/>
  <c r="Q32" i="3" s="1"/>
  <c r="CN51" i="3"/>
  <c r="R92" i="3" s="1"/>
  <c r="CN7" i="3"/>
  <c r="CN26" i="3"/>
  <c r="Q44" i="3" s="1"/>
  <c r="CN14" i="3"/>
  <c r="Q20" i="3" s="1"/>
  <c r="CN13" i="3"/>
  <c r="R13" i="3" s="1"/>
  <c r="CN37" i="3"/>
  <c r="R61" i="3" s="1"/>
  <c r="CN50" i="3"/>
  <c r="Q94" i="3" s="1"/>
  <c r="CN49" i="3"/>
  <c r="Q87" i="3" s="1"/>
  <c r="CN23" i="3"/>
  <c r="R36" i="3" s="1"/>
  <c r="CN44" i="3"/>
  <c r="Q77" i="3" s="1"/>
  <c r="CN19" i="3"/>
  <c r="Q33" i="3" s="1"/>
  <c r="CN18" i="3"/>
  <c r="Q28" i="3" s="1"/>
  <c r="CN10" i="3"/>
  <c r="Q15" i="3" s="1"/>
  <c r="CN52" i="3"/>
  <c r="R97" i="3" s="1"/>
  <c r="CN28" i="3"/>
  <c r="R46" i="3" s="1"/>
  <c r="CN46" i="3"/>
  <c r="Q84" i="3" s="1"/>
  <c r="CN17" i="3"/>
  <c r="Q24" i="3" s="1"/>
  <c r="CN24" i="3"/>
  <c r="Q37" i="3" s="1"/>
  <c r="CN42" i="3"/>
  <c r="Q76" i="3" s="1"/>
  <c r="CN41" i="3"/>
  <c r="Q71" i="3" s="1"/>
  <c r="CN16" i="3"/>
  <c r="R25" i="3" s="1"/>
  <c r="CN22" i="3"/>
  <c r="Q36" i="3" s="1"/>
  <c r="CN12" i="3"/>
  <c r="R15" i="3" s="1"/>
  <c r="CN9" i="3"/>
  <c r="Q6" i="3" s="1"/>
  <c r="CN8" i="3"/>
  <c r="Q5" i="3" s="1"/>
  <c r="CN34" i="3"/>
  <c r="R65" i="3" s="1"/>
  <c r="CN53" i="3"/>
  <c r="Q95" i="3" s="1"/>
  <c r="CN40" i="3"/>
  <c r="R73" i="3" s="1"/>
  <c r="CN20" i="3"/>
  <c r="R33" i="3" s="1"/>
  <c r="CN30" i="3"/>
  <c r="R57" i="3" s="1"/>
  <c r="CN31" i="3"/>
  <c r="R52" i="3" s="1"/>
  <c r="CN45" i="3"/>
  <c r="Q79" i="3" s="1"/>
  <c r="CN39" i="3"/>
  <c r="R71" i="3" s="1"/>
  <c r="CN29" i="3"/>
  <c r="Q47" i="3" s="1"/>
  <c r="CN35" i="3"/>
  <c r="R63" i="3" s="1"/>
  <c r="CN27" i="3"/>
  <c r="R47" i="3" s="1"/>
  <c r="CN15" i="3"/>
  <c r="Q25" i="3" s="1"/>
  <c r="CN6" i="3"/>
  <c r="Q7" i="3" s="1"/>
  <c r="R4" i="3"/>
  <c r="R12" i="3"/>
  <c r="Q41" i="3"/>
  <c r="R89" i="3"/>
  <c r="R37" i="3"/>
  <c r="R78" i="3"/>
  <c r="Q17" i="3"/>
  <c r="R6" i="3"/>
  <c r="R86" i="3"/>
  <c r="R14" i="3"/>
  <c r="Q9" i="3"/>
  <c r="R29" i="3"/>
  <c r="R80" i="3" l="1"/>
  <c r="R40" i="3"/>
  <c r="Q60" i="3"/>
  <c r="Q62" i="3"/>
  <c r="R38" i="3"/>
  <c r="CP22" i="3" s="1"/>
  <c r="R56" i="3"/>
  <c r="R62" i="3"/>
  <c r="Q61" i="3"/>
  <c r="CP37" i="3" s="1"/>
  <c r="Q30" i="3"/>
  <c r="CP20" i="3" s="1"/>
  <c r="R53" i="3"/>
  <c r="R54" i="3"/>
  <c r="R28" i="3"/>
  <c r="R81" i="3"/>
  <c r="Q69" i="3"/>
  <c r="R87" i="3"/>
  <c r="Q55" i="3"/>
  <c r="R70" i="3"/>
  <c r="R84" i="3"/>
  <c r="Q96" i="3"/>
  <c r="Q72" i="3"/>
  <c r="R44" i="3"/>
  <c r="R49" i="3"/>
  <c r="Q46" i="3"/>
  <c r="CO43" i="3"/>
  <c r="R32" i="3"/>
  <c r="R69" i="3"/>
  <c r="R24" i="3"/>
  <c r="Q78" i="3"/>
  <c r="Q80" i="3"/>
  <c r="R31" i="3"/>
  <c r="Q23" i="3"/>
  <c r="Q16" i="3"/>
  <c r="CO10" i="3" s="1"/>
  <c r="Q12" i="3"/>
  <c r="CP43" i="3"/>
  <c r="Q93" i="3"/>
  <c r="R16" i="3"/>
  <c r="R79" i="3"/>
  <c r="CO45" i="3" s="1"/>
  <c r="Q63" i="3"/>
  <c r="CO35" i="3" s="1"/>
  <c r="Q21" i="3"/>
  <c r="Q38" i="3"/>
  <c r="R23" i="3"/>
  <c r="Q14" i="3"/>
  <c r="R96" i="3"/>
  <c r="R55" i="3"/>
  <c r="CP33" i="3" s="1"/>
  <c r="R41" i="3"/>
  <c r="R93" i="3"/>
  <c r="R7" i="3"/>
  <c r="R88" i="3"/>
  <c r="R85" i="3"/>
  <c r="Q68" i="3"/>
  <c r="CP39" i="3" s="1"/>
  <c r="R72" i="3"/>
  <c r="R95" i="3"/>
  <c r="CO53" i="3" s="1"/>
  <c r="Q22" i="3"/>
  <c r="CO15" i="3" s="1"/>
  <c r="Q56" i="3"/>
  <c r="R77" i="3"/>
  <c r="CP44" i="3" s="1"/>
  <c r="R21" i="3"/>
  <c r="Q31" i="3"/>
  <c r="CO19" i="3" s="1"/>
  <c r="Q45" i="3"/>
  <c r="Q86" i="3"/>
  <c r="R39" i="3"/>
  <c r="Q73" i="3"/>
  <c r="Q97" i="3"/>
  <c r="Q8" i="3"/>
  <c r="R5" i="3"/>
  <c r="CO8" i="3" s="1"/>
  <c r="Q40" i="3"/>
  <c r="Q88" i="3"/>
  <c r="CP12" i="3"/>
  <c r="R48" i="3"/>
  <c r="CO27" i="3" s="1"/>
  <c r="Q13" i="3"/>
  <c r="R9" i="3"/>
  <c r="CO23" i="3"/>
  <c r="Q92" i="3"/>
  <c r="CP51" i="3" s="1"/>
  <c r="R94" i="3"/>
  <c r="CP50" i="3" s="1"/>
  <c r="Q65" i="3"/>
  <c r="R17" i="3"/>
  <c r="R30" i="3"/>
  <c r="CO18" i="3" s="1"/>
  <c r="R22" i="3"/>
  <c r="Q29" i="3"/>
  <c r="Q52" i="3"/>
  <c r="R20" i="3"/>
  <c r="Q54" i="3"/>
  <c r="Q81" i="3"/>
  <c r="CP42" i="3" s="1"/>
  <c r="R45" i="3"/>
  <c r="Q49" i="3"/>
  <c r="CO26" i="3" s="1"/>
  <c r="Q48" i="3"/>
  <c r="Q64" i="3"/>
  <c r="CP36" i="3" s="1"/>
  <c r="R68" i="3"/>
  <c r="R8" i="3"/>
  <c r="CO9" i="3" s="1"/>
  <c r="R60" i="3"/>
  <c r="Q4" i="3"/>
  <c r="CP30" i="3"/>
  <c r="CP53" i="3"/>
  <c r="CP45" i="3"/>
  <c r="CO22" i="3"/>
  <c r="CO30" i="3"/>
  <c r="CP47" i="3"/>
  <c r="CO47" i="3"/>
  <c r="CO12" i="3"/>
  <c r="CP23" i="3"/>
  <c r="CP49" i="3" l="1"/>
  <c r="CP35" i="3"/>
  <c r="CP34" i="3"/>
  <c r="CP48" i="3"/>
  <c r="CO24" i="3"/>
  <c r="CO37" i="3"/>
  <c r="CQ37" i="3" s="1"/>
  <c r="CP38" i="3"/>
  <c r="CP14" i="3"/>
  <c r="CP46" i="3"/>
  <c r="CO34" i="3"/>
  <c r="CO50" i="3"/>
  <c r="CQ50" i="3" s="1"/>
  <c r="CQ22" i="3"/>
  <c r="CP40" i="3"/>
  <c r="CQ43" i="3"/>
  <c r="CO46" i="3"/>
  <c r="CP24" i="3"/>
  <c r="CO21" i="3"/>
  <c r="CO40" i="3"/>
  <c r="CO49" i="3"/>
  <c r="CO48" i="3"/>
  <c r="CO11" i="3"/>
  <c r="CO38" i="3"/>
  <c r="CP31" i="3"/>
  <c r="CP32" i="3"/>
  <c r="CP16" i="3"/>
  <c r="CO42" i="3"/>
  <c r="CQ42" i="3" s="1"/>
  <c r="CP10" i="3"/>
  <c r="CQ10" i="3" s="1"/>
  <c r="CO44" i="3"/>
  <c r="CQ44" i="3" s="1"/>
  <c r="CO31" i="3"/>
  <c r="CQ30" i="3"/>
  <c r="CO32" i="3"/>
  <c r="CP28" i="3"/>
  <c r="CP17" i="3"/>
  <c r="CO28" i="3"/>
  <c r="CP26" i="3"/>
  <c r="CQ26" i="3" s="1"/>
  <c r="CP9" i="3"/>
  <c r="CQ9" i="3" s="1"/>
  <c r="CP15" i="3"/>
  <c r="CQ15" i="3" s="1"/>
  <c r="CP13" i="3"/>
  <c r="CO17" i="3"/>
  <c r="CP21" i="3"/>
  <c r="CP18" i="3"/>
  <c r="CQ18" i="3" s="1"/>
  <c r="CO16" i="3"/>
  <c r="CO20" i="3"/>
  <c r="CQ20" i="3" s="1"/>
  <c r="CP19" i="3"/>
  <c r="CQ19" i="3" s="1"/>
  <c r="CO14" i="3"/>
  <c r="CP11" i="3"/>
  <c r="CQ12" i="3"/>
  <c r="CO13" i="3"/>
  <c r="CO7" i="3"/>
  <c r="CO6" i="3"/>
  <c r="CP6" i="3"/>
  <c r="CP8" i="3"/>
  <c r="CQ8" i="3" s="1"/>
  <c r="CP7" i="3"/>
  <c r="CP52" i="3"/>
  <c r="CP27" i="3"/>
  <c r="CQ27" i="3" s="1"/>
  <c r="CO52" i="3"/>
  <c r="CO41" i="3"/>
  <c r="CO29" i="3"/>
  <c r="CQ23" i="3"/>
  <c r="CP29" i="3"/>
  <c r="CO51" i="3"/>
  <c r="CQ51" i="3" s="1"/>
  <c r="CO33" i="3"/>
  <c r="CQ33" i="3" s="1"/>
  <c r="CO39" i="3"/>
  <c r="CQ39" i="3" s="1"/>
  <c r="CO25" i="3"/>
  <c r="CP25" i="3"/>
  <c r="CP41" i="3"/>
  <c r="CO36" i="3"/>
  <c r="CQ36" i="3" s="1"/>
  <c r="CQ45" i="3"/>
  <c r="CQ53" i="3"/>
  <c r="CQ47" i="3"/>
  <c r="CQ35" i="3"/>
  <c r="CQ49" i="3" l="1"/>
  <c r="CQ24" i="3"/>
  <c r="CQ48" i="3"/>
  <c r="CQ34" i="3"/>
  <c r="CQ14" i="3"/>
  <c r="CQ21" i="3"/>
  <c r="CQ46" i="3"/>
  <c r="CQ16" i="3"/>
  <c r="CQ40" i="3"/>
  <c r="CQ38" i="3"/>
  <c r="CQ11" i="3"/>
  <c r="CQ31" i="3"/>
  <c r="CQ32" i="3"/>
  <c r="CQ28" i="3"/>
  <c r="CQ13" i="3"/>
  <c r="CQ17" i="3"/>
  <c r="CQ7" i="3"/>
  <c r="CQ6" i="3"/>
  <c r="CQ41" i="3"/>
  <c r="CQ52" i="3"/>
  <c r="CQ29" i="3"/>
  <c r="CQ25" i="3"/>
  <c r="CR50" i="3" l="1"/>
  <c r="CR53" i="3"/>
  <c r="CR47" i="3"/>
  <c r="CR48" i="3"/>
  <c r="CR21" i="3"/>
  <c r="CR31" i="3"/>
  <c r="CR26" i="3"/>
  <c r="CR41" i="3"/>
  <c r="CR49" i="3"/>
  <c r="CR45" i="3"/>
  <c r="CR44" i="3"/>
  <c r="CR43" i="3"/>
  <c r="CR30" i="3"/>
  <c r="CR42" i="3"/>
  <c r="CR38" i="3"/>
  <c r="CR33" i="3"/>
  <c r="CR40" i="3"/>
  <c r="CR39" i="3"/>
  <c r="CR19" i="3"/>
  <c r="CR35" i="3"/>
  <c r="CR34" i="3"/>
  <c r="CR24" i="3"/>
  <c r="CR36" i="3"/>
  <c r="CR22" i="3"/>
  <c r="CR28" i="3"/>
  <c r="CR17" i="3"/>
  <c r="CR14" i="3"/>
  <c r="CR20" i="3"/>
  <c r="CR15" i="3"/>
  <c r="CR16" i="3"/>
  <c r="CR18" i="3"/>
  <c r="CR10" i="3"/>
  <c r="CR7" i="3"/>
  <c r="CR46" i="3"/>
  <c r="CR11" i="3"/>
  <c r="CR32" i="3"/>
  <c r="CR9" i="3"/>
  <c r="CR6" i="3"/>
  <c r="CR8" i="3"/>
  <c r="CR27" i="3"/>
  <c r="CR13" i="3"/>
  <c r="CR12" i="3"/>
  <c r="CR29" i="3"/>
  <c r="CR37" i="3"/>
  <c r="CR23" i="3"/>
  <c r="CR25" i="3"/>
  <c r="CR51" i="3"/>
  <c r="CR52" i="3"/>
  <c r="CS24" i="3" l="1"/>
  <c r="U40" i="3" s="1"/>
  <c r="CS36" i="3"/>
  <c r="U62" i="3" s="1"/>
  <c r="CS46" i="3"/>
  <c r="U88" i="3" s="1"/>
  <c r="CS30" i="3"/>
  <c r="CS10" i="3"/>
  <c r="T15" i="3" s="1"/>
  <c r="CS48" i="3"/>
  <c r="U89" i="3" s="1"/>
  <c r="CS47" i="3"/>
  <c r="U84" i="3" s="1"/>
  <c r="CS13" i="3"/>
  <c r="T14" i="3" s="1"/>
  <c r="CS35" i="3"/>
  <c r="U63" i="3" s="1"/>
  <c r="CS39" i="3"/>
  <c r="U71" i="3" s="1"/>
  <c r="CS16" i="3"/>
  <c r="U23" i="3" s="1"/>
  <c r="CS25" i="3"/>
  <c r="T39" i="3" s="1"/>
  <c r="CS22" i="3"/>
  <c r="T38" i="3" s="1"/>
  <c r="CS49" i="3"/>
  <c r="U85" i="3" s="1"/>
  <c r="CS11" i="3"/>
  <c r="T17" i="3" s="1"/>
  <c r="CS32" i="3"/>
  <c r="U56" i="3" s="1"/>
  <c r="CS42" i="3"/>
  <c r="T78" i="3" s="1"/>
  <c r="CS45" i="3"/>
  <c r="T79" i="3" s="1"/>
  <c r="CS20" i="3"/>
  <c r="U30" i="3" s="1"/>
  <c r="CS51" i="3"/>
  <c r="U92" i="3" s="1"/>
  <c r="CS40" i="3"/>
  <c r="U70" i="3" s="1"/>
  <c r="CS31" i="3"/>
  <c r="U55" i="3" s="1"/>
  <c r="CS37" i="3"/>
  <c r="T63" i="3" s="1"/>
  <c r="CS41" i="3"/>
  <c r="T71" i="3" s="1"/>
  <c r="CS23" i="3"/>
  <c r="T40" i="3" s="1"/>
  <c r="CS9" i="3"/>
  <c r="U5" i="3" s="1"/>
  <c r="CS8" i="3"/>
  <c r="U9" i="3" s="1"/>
  <c r="CS17" i="3"/>
  <c r="T22" i="3" s="1"/>
  <c r="CS44" i="3"/>
  <c r="U80" i="3" s="1"/>
  <c r="CS38" i="3"/>
  <c r="T70" i="3" s="1"/>
  <c r="CS33" i="3"/>
  <c r="U53" i="3" s="1"/>
  <c r="CS27" i="3"/>
  <c r="U47" i="3" s="1"/>
  <c r="CS43" i="3"/>
  <c r="T80" i="3" s="1"/>
  <c r="CS6" i="3"/>
  <c r="U8" i="3" s="1"/>
  <c r="CS18" i="3"/>
  <c r="T30" i="3" s="1"/>
  <c r="CS21" i="3"/>
  <c r="T31" i="3" s="1"/>
  <c r="CS19" i="3"/>
  <c r="U31" i="3" s="1"/>
  <c r="CS26" i="3"/>
  <c r="T46" i="3" s="1"/>
  <c r="CS52" i="3"/>
  <c r="T93" i="3" s="1"/>
  <c r="CS28" i="3"/>
  <c r="U48" i="3" s="1"/>
  <c r="CS15" i="3"/>
  <c r="U22" i="3" s="1"/>
  <c r="CS34" i="3"/>
  <c r="U65" i="3" s="1"/>
  <c r="CS12" i="3"/>
  <c r="T13" i="3" s="1"/>
  <c r="CS50" i="3"/>
  <c r="T92" i="3" s="1"/>
  <c r="CS53" i="3"/>
  <c r="T95" i="3" s="1"/>
  <c r="CS14" i="3"/>
  <c r="U24" i="3" s="1"/>
  <c r="CS7" i="3"/>
  <c r="U4" i="3" s="1"/>
  <c r="CS29" i="3"/>
  <c r="U45" i="3" s="1"/>
  <c r="U38" i="3"/>
  <c r="T37" i="3"/>
  <c r="T52" i="3"/>
  <c r="T54" i="3"/>
  <c r="T41" i="3"/>
  <c r="U37" i="3"/>
  <c r="CT24" i="3" s="1"/>
  <c r="U57" i="3"/>
  <c r="U33" i="3" l="1"/>
  <c r="U25" i="3"/>
  <c r="T21" i="3"/>
  <c r="U32" i="3"/>
  <c r="T84" i="3"/>
  <c r="T86" i="3"/>
  <c r="T29" i="3"/>
  <c r="T12" i="3"/>
  <c r="T61" i="3"/>
  <c r="CT37" i="3" s="1"/>
  <c r="T6" i="3"/>
  <c r="U64" i="3"/>
  <c r="U68" i="3"/>
  <c r="U7" i="3"/>
  <c r="T28" i="3"/>
  <c r="CT19" i="3" s="1"/>
  <c r="T8" i="3"/>
  <c r="U77" i="3"/>
  <c r="CT44" i="3" s="1"/>
  <c r="T36" i="3"/>
  <c r="CT23" i="3" s="1"/>
  <c r="U41" i="3"/>
  <c r="T69" i="3"/>
  <c r="U73" i="3"/>
  <c r="U15" i="3"/>
  <c r="T77" i="3"/>
  <c r="T81" i="3"/>
  <c r="U16" i="3"/>
  <c r="T24" i="3"/>
  <c r="T73" i="3"/>
  <c r="U95" i="3"/>
  <c r="T85" i="3"/>
  <c r="U86" i="3"/>
  <c r="T97" i="3"/>
  <c r="T32" i="3"/>
  <c r="CT17" i="3"/>
  <c r="U81" i="3"/>
  <c r="U78" i="3"/>
  <c r="T89" i="3"/>
  <c r="U87" i="3"/>
  <c r="T87" i="3"/>
  <c r="CT47" i="3" s="1"/>
  <c r="T88" i="3"/>
  <c r="T56" i="3"/>
  <c r="CT32" i="3" s="1"/>
  <c r="T53" i="3"/>
  <c r="CT33" i="3" s="1"/>
  <c r="U13" i="3"/>
  <c r="CT12" i="3" s="1"/>
  <c r="U49" i="3"/>
  <c r="T16" i="3"/>
  <c r="U52" i="3"/>
  <c r="T64" i="3"/>
  <c r="U14" i="3"/>
  <c r="U60" i="3"/>
  <c r="U54" i="3"/>
  <c r="T76" i="3"/>
  <c r="U12" i="3"/>
  <c r="T94" i="3"/>
  <c r="U28" i="3"/>
  <c r="T68" i="3"/>
  <c r="U21" i="3"/>
  <c r="U93" i="3"/>
  <c r="T33" i="3"/>
  <c r="U29" i="3"/>
  <c r="T20" i="3"/>
  <c r="T96" i="3"/>
  <c r="U72" i="3"/>
  <c r="U96" i="3"/>
  <c r="CT53" i="3" s="1"/>
  <c r="T44" i="3"/>
  <c r="T5" i="3"/>
  <c r="U39" i="3"/>
  <c r="CT25" i="3" s="1"/>
  <c r="T72" i="3"/>
  <c r="CT38" i="3" s="1"/>
  <c r="T57" i="3"/>
  <c r="U94" i="3"/>
  <c r="CT50" i="3" s="1"/>
  <c r="U36" i="3"/>
  <c r="CT22" i="3" s="1"/>
  <c r="T65" i="3"/>
  <c r="U61" i="3"/>
  <c r="U17" i="3"/>
  <c r="CT11" i="3" s="1"/>
  <c r="T23" i="3"/>
  <c r="U69" i="3"/>
  <c r="T55" i="3"/>
  <c r="U97" i="3"/>
  <c r="CT51" i="3" s="1"/>
  <c r="U6" i="3"/>
  <c r="T25" i="3"/>
  <c r="CT34" i="3"/>
  <c r="U79" i="3"/>
  <c r="T60" i="3"/>
  <c r="CT35" i="3" s="1"/>
  <c r="T4" i="3"/>
  <c r="CT7" i="3" s="1"/>
  <c r="T62" i="3"/>
  <c r="T7" i="3"/>
  <c r="U20" i="3"/>
  <c r="T48" i="3"/>
  <c r="CT28" i="3" s="1"/>
  <c r="U44" i="3"/>
  <c r="U76" i="3"/>
  <c r="CT43" i="3"/>
  <c r="U46" i="3"/>
  <c r="T45" i="3"/>
  <c r="T47" i="3"/>
  <c r="T9" i="3"/>
  <c r="T49" i="3"/>
  <c r="CT40" i="3"/>
  <c r="CT31" i="3"/>
  <c r="CT15" i="3"/>
  <c r="CT49" i="3"/>
  <c r="CT21" i="3" l="1"/>
  <c r="CT48" i="3"/>
  <c r="CT6" i="3"/>
  <c r="CT14" i="3"/>
  <c r="CT46" i="3"/>
  <c r="CT42" i="3"/>
  <c r="CT45" i="3"/>
  <c r="CT20" i="3"/>
  <c r="CT30" i="3"/>
  <c r="CT26" i="3"/>
  <c r="CT18" i="3"/>
  <c r="CT16" i="3"/>
  <c r="CT13" i="3"/>
  <c r="CT27" i="3"/>
  <c r="CT41" i="3"/>
  <c r="CT39" i="3"/>
  <c r="CT10" i="3"/>
  <c r="CT52" i="3"/>
  <c r="CT29" i="3"/>
  <c r="CT9" i="3"/>
  <c r="CT36" i="3"/>
  <c r="CT8" i="3"/>
  <c r="CU53" i="3" l="1"/>
  <c r="CU43" i="3"/>
  <c r="CU47" i="3"/>
  <c r="CU49" i="3"/>
  <c r="CU48" i="3"/>
  <c r="CU45" i="3"/>
  <c r="CU44" i="3"/>
  <c r="CU24" i="3"/>
  <c r="CU41" i="3"/>
  <c r="CU21" i="3"/>
  <c r="CU27" i="3"/>
  <c r="CU38" i="3"/>
  <c r="CU30" i="3"/>
  <c r="CU10" i="3"/>
  <c r="CU26" i="3"/>
  <c r="CU20" i="3"/>
  <c r="CU35" i="3"/>
  <c r="CU50" i="3"/>
  <c r="CU31" i="3"/>
  <c r="CU18" i="3"/>
  <c r="CU11" i="3"/>
  <c r="CU19" i="3"/>
  <c r="CU46" i="3"/>
  <c r="CU32" i="3"/>
  <c r="CU33" i="3"/>
  <c r="CU15" i="3"/>
  <c r="CU14" i="3"/>
  <c r="CU42" i="3"/>
  <c r="CU34" i="3"/>
  <c r="CU17" i="3"/>
  <c r="CU12" i="3"/>
  <c r="CU16" i="3"/>
  <c r="CU40" i="3"/>
  <c r="CU28" i="3"/>
  <c r="CU22" i="3"/>
  <c r="CU29" i="3"/>
  <c r="CU39" i="3"/>
  <c r="CU8" i="3"/>
  <c r="CU25" i="3"/>
  <c r="CU37" i="3"/>
  <c r="CU23" i="3"/>
  <c r="CU9" i="3"/>
  <c r="CU51" i="3"/>
  <c r="CU7" i="3"/>
  <c r="CU6" i="3"/>
  <c r="CU52" i="3"/>
  <c r="CU13" i="3"/>
  <c r="CU36" i="3"/>
  <c r="CV41" i="3" l="1"/>
  <c r="CW41" i="3" s="1"/>
  <c r="CV42" i="3"/>
  <c r="CW42" i="3" s="1"/>
  <c r="CV36" i="3"/>
  <c r="CW36" i="3" s="1"/>
  <c r="CV28" i="3"/>
  <c r="CW28" i="3" s="1"/>
  <c r="CV8" i="3"/>
  <c r="CW8" i="3" s="1"/>
  <c r="CV25" i="3"/>
  <c r="CW25" i="3" s="1"/>
  <c r="CV10" i="3"/>
  <c r="CW10" i="3" s="1"/>
  <c r="CV51" i="3"/>
  <c r="CW51" i="3" s="1"/>
  <c r="CV45" i="3"/>
  <c r="CW45" i="3" s="1"/>
  <c r="CV49" i="3"/>
  <c r="CW49" i="3" s="1"/>
  <c r="CV35" i="3"/>
  <c r="CW35" i="3" s="1"/>
  <c r="CV18" i="3"/>
  <c r="CW18" i="3" s="1"/>
  <c r="CV13" i="3"/>
  <c r="CW13" i="3" s="1"/>
  <c r="CV47" i="3"/>
  <c r="CW47" i="3" s="1"/>
  <c r="CV48" i="3"/>
  <c r="CW48" i="3" s="1"/>
  <c r="CV19" i="3"/>
  <c r="CW19" i="3" s="1"/>
  <c r="CV30" i="3"/>
  <c r="CW30" i="3" s="1"/>
  <c r="CV24" i="3"/>
  <c r="CW24" i="3" s="1"/>
  <c r="CV16" i="3"/>
  <c r="CW16" i="3" s="1"/>
  <c r="CV33" i="3"/>
  <c r="CW33" i="3" s="1"/>
  <c r="CV9" i="3"/>
  <c r="CW9" i="3" s="1"/>
  <c r="CV7" i="3"/>
  <c r="CW7" i="3" s="1"/>
  <c r="CV12" i="3"/>
  <c r="CW12" i="3" s="1"/>
  <c r="CV44" i="3"/>
  <c r="CW44" i="3" s="1"/>
  <c r="CV29" i="3"/>
  <c r="CW29" i="3" s="1"/>
  <c r="CV20" i="3"/>
  <c r="CW20" i="3" s="1"/>
  <c r="CV37" i="3"/>
  <c r="CW37" i="3" s="1"/>
  <c r="CV39" i="3"/>
  <c r="CW39" i="3" s="1"/>
  <c r="CV46" i="3"/>
  <c r="CW46" i="3" s="1"/>
  <c r="CV52" i="3"/>
  <c r="CW52" i="3" s="1"/>
  <c r="CV15" i="3"/>
  <c r="CW15" i="3" s="1"/>
  <c r="CV6" i="3"/>
  <c r="CW6" i="3" s="1"/>
  <c r="CV53" i="3"/>
  <c r="CW53" i="3" s="1"/>
  <c r="CV11" i="3"/>
  <c r="CW11" i="3" s="1"/>
  <c r="CV32" i="3"/>
  <c r="CW32" i="3" s="1"/>
  <c r="CV43" i="3"/>
  <c r="CW43" i="3" s="1"/>
  <c r="CV26" i="3"/>
  <c r="CW26" i="3" s="1"/>
  <c r="CV22" i="3"/>
  <c r="CW22" i="3" s="1"/>
  <c r="CV40" i="3"/>
  <c r="CW40" i="3" s="1"/>
  <c r="CV50" i="3"/>
  <c r="CW50" i="3" s="1"/>
  <c r="CV38" i="3"/>
  <c r="CW38" i="3" s="1"/>
  <c r="CV34" i="3"/>
  <c r="CW34" i="3" s="1"/>
  <c r="CV31" i="3"/>
  <c r="CW31" i="3" s="1"/>
  <c r="CV27" i="3"/>
  <c r="CW27" i="3" s="1"/>
  <c r="CV17" i="3"/>
  <c r="CW17" i="3" s="1"/>
  <c r="CV21" i="3"/>
  <c r="CW21" i="3" s="1"/>
  <c r="CV23" i="3"/>
  <c r="CW23" i="3" s="1"/>
  <c r="CV14" i="3"/>
  <c r="CW14" i="3" s="1"/>
  <c r="CX44" i="3" l="1"/>
  <c r="CX14" i="3"/>
  <c r="CX52" i="3"/>
  <c r="CX22" i="3"/>
  <c r="CX42" i="3"/>
  <c r="CX46" i="3"/>
  <c r="CX37" i="3"/>
  <c r="CX28" i="3"/>
  <c r="CX33" i="3"/>
  <c r="CX26" i="3"/>
  <c r="CX41" i="3"/>
  <c r="CX47" i="3"/>
  <c r="CX20" i="3"/>
  <c r="CX27" i="3"/>
  <c r="CX15" i="3"/>
  <c r="CX6" i="3"/>
  <c r="CX31" i="3"/>
  <c r="CX40" i="3"/>
  <c r="CX13" i="3"/>
  <c r="CX43" i="3"/>
  <c r="CX51" i="3"/>
  <c r="CX36" i="3"/>
  <c r="CX19" i="3"/>
  <c r="CX24" i="3"/>
  <c r="CX50" i="3"/>
  <c r="CX35" i="3"/>
  <c r="CX34" i="3"/>
  <c r="CX7" i="3"/>
  <c r="CX32" i="3"/>
  <c r="CX39" i="3"/>
  <c r="CX8" i="3"/>
  <c r="CX48" i="3"/>
  <c r="CX53" i="3"/>
  <c r="CX23" i="3"/>
  <c r="CX25" i="3"/>
  <c r="CX12" i="3"/>
  <c r="CX30" i="3"/>
  <c r="CX49" i="3"/>
  <c r="CX38" i="3"/>
  <c r="CX21" i="3"/>
  <c r="CX18" i="3"/>
  <c r="CX10" i="3"/>
  <c r="CX16" i="3"/>
  <c r="CX29" i="3"/>
  <c r="CX45" i="3"/>
  <c r="CX11" i="3"/>
  <c r="CX17" i="3"/>
  <c r="CX9" i="3"/>
  <c r="CY52" i="3" l="1"/>
  <c r="CZ52" i="3" s="1"/>
  <c r="CY53" i="3"/>
  <c r="CZ53" i="3" s="1"/>
  <c r="CY18" i="3"/>
  <c r="CZ18" i="3" s="1"/>
  <c r="CY48" i="3"/>
  <c r="CZ48" i="3" s="1"/>
  <c r="CY35" i="3"/>
  <c r="CZ35" i="3" s="1"/>
  <c r="CY9" i="3"/>
  <c r="CZ9" i="3" s="1"/>
  <c r="CY13" i="3"/>
  <c r="CZ13" i="3" s="1"/>
  <c r="CY21" i="3"/>
  <c r="CZ21" i="3" s="1"/>
  <c r="CY17" i="3"/>
  <c r="CZ17" i="3" s="1"/>
  <c r="CY38" i="3"/>
  <c r="CZ38" i="3" s="1"/>
  <c r="CY44" i="3"/>
  <c r="CZ44" i="3" s="1"/>
  <c r="CY11" i="3"/>
  <c r="CZ11" i="3" s="1"/>
  <c r="CY49" i="3"/>
  <c r="CZ49" i="3" s="1"/>
  <c r="CY23" i="3"/>
  <c r="CZ23" i="3" s="1"/>
  <c r="CY45" i="3"/>
  <c r="CZ45" i="3" s="1"/>
  <c r="CY34" i="3"/>
  <c r="CZ34" i="3" s="1"/>
  <c r="CY10" i="3"/>
  <c r="CZ10" i="3" s="1"/>
  <c r="CY50" i="3"/>
  <c r="CZ50" i="3" s="1"/>
  <c r="CY6" i="3"/>
  <c r="CZ6" i="3" s="1"/>
  <c r="CY39" i="3"/>
  <c r="CZ39" i="3" s="1"/>
  <c r="CY16" i="3"/>
  <c r="CZ16" i="3" s="1"/>
  <c r="CY32" i="3"/>
  <c r="CZ32" i="3" s="1"/>
  <c r="CY25" i="3"/>
  <c r="CZ25" i="3" s="1"/>
  <c r="CY36" i="3"/>
  <c r="CZ36" i="3" s="1"/>
  <c r="CY31" i="3"/>
  <c r="CZ31" i="3" s="1"/>
  <c r="CY24" i="3"/>
  <c r="CZ24" i="3" s="1"/>
  <c r="CY33" i="3"/>
  <c r="CZ33" i="3" s="1"/>
  <c r="CY19" i="3"/>
  <c r="CZ19" i="3" s="1"/>
  <c r="CY22" i="3"/>
  <c r="CZ22" i="3" s="1"/>
  <c r="CY46" i="3"/>
  <c r="CZ46" i="3" s="1"/>
  <c r="CY20" i="3"/>
  <c r="CZ20" i="3" s="1"/>
  <c r="CY29" i="3"/>
  <c r="CZ29" i="3" s="1"/>
  <c r="CY40" i="3"/>
  <c r="CZ40" i="3" s="1"/>
  <c r="CY12" i="3"/>
  <c r="CZ12" i="3" s="1"/>
  <c r="CY47" i="3"/>
  <c r="CZ47" i="3" s="1"/>
  <c r="CY42" i="3"/>
  <c r="CZ42" i="3" s="1"/>
  <c r="CY28" i="3"/>
  <c r="CZ28" i="3" s="1"/>
  <c r="CY37" i="3"/>
  <c r="CZ37" i="3" s="1"/>
  <c r="CY8" i="3"/>
  <c r="CZ8" i="3" s="1"/>
  <c r="CY7" i="3"/>
  <c r="CZ7" i="3" s="1"/>
  <c r="CY26" i="3"/>
  <c r="CZ26" i="3" s="1"/>
  <c r="CY41" i="3"/>
  <c r="CZ41" i="3" s="1"/>
  <c r="CY51" i="3"/>
  <c r="CZ51" i="3" s="1"/>
  <c r="CY30" i="3"/>
  <c r="CZ30" i="3" s="1"/>
  <c r="CY43" i="3"/>
  <c r="CZ43" i="3" s="1"/>
  <c r="CY27" i="3"/>
  <c r="CZ27" i="3" s="1"/>
  <c r="CY15" i="3"/>
  <c r="CZ15" i="3" s="1"/>
  <c r="CY14" i="3"/>
  <c r="CZ14" i="3" s="1"/>
  <c r="DA35" i="3" l="1"/>
  <c r="DA27" i="3"/>
  <c r="DA46" i="3"/>
  <c r="DA41" i="3"/>
  <c r="DA52" i="3"/>
  <c r="DA51" i="3"/>
  <c r="DA49" i="3"/>
  <c r="DA31" i="3"/>
  <c r="DA18" i="3"/>
  <c r="DA47" i="3"/>
  <c r="DA19" i="3"/>
  <c r="DA12" i="3"/>
  <c r="DA13" i="3"/>
  <c r="DA39" i="3"/>
  <c r="DA43" i="3"/>
  <c r="DA15" i="3"/>
  <c r="DA26" i="3"/>
  <c r="DA40" i="3"/>
  <c r="DA32" i="3"/>
  <c r="DA14" i="3"/>
  <c r="DA16" i="3"/>
  <c r="DA10" i="3"/>
  <c r="DA30" i="3"/>
  <c r="DA25" i="3"/>
  <c r="DA17" i="3"/>
  <c r="DA42" i="3"/>
  <c r="DA48" i="3"/>
  <c r="DA6" i="3"/>
  <c r="DA36" i="3"/>
  <c r="DA20" i="3"/>
  <c r="DA21" i="3"/>
  <c r="DA37" i="3"/>
  <c r="DA33" i="3"/>
  <c r="DA44" i="3"/>
  <c r="DA29" i="3"/>
  <c r="DA7" i="3"/>
  <c r="DA22" i="3"/>
  <c r="DA28" i="3"/>
  <c r="DA34" i="3"/>
  <c r="DA38" i="3"/>
  <c r="DA24" i="3"/>
  <c r="DA9" i="3"/>
  <c r="DA11" i="3"/>
  <c r="DA45" i="3"/>
  <c r="DA50" i="3"/>
  <c r="DA23" i="3"/>
  <c r="DA53" i="3"/>
  <c r="DA8" i="3"/>
  <c r="DB44" i="3" l="1"/>
  <c r="DC44" i="3" s="1"/>
  <c r="DB24" i="3"/>
  <c r="DC24" i="3" s="1"/>
  <c r="DB33" i="3"/>
  <c r="DC33" i="3" s="1"/>
  <c r="DB38" i="3"/>
  <c r="DC38" i="3" s="1"/>
  <c r="DB37" i="3"/>
  <c r="DC37" i="3" s="1"/>
  <c r="DB53" i="3"/>
  <c r="DC53" i="3" s="1"/>
  <c r="DB30" i="3"/>
  <c r="DC30" i="3" s="1"/>
  <c r="DB23" i="3"/>
  <c r="DC23" i="3" s="1"/>
  <c r="DB50" i="3"/>
  <c r="DC50" i="3" s="1"/>
  <c r="DB45" i="3"/>
  <c r="DC45" i="3" s="1"/>
  <c r="DB29" i="3"/>
  <c r="DC29" i="3" s="1"/>
  <c r="DB22" i="3"/>
  <c r="DC22" i="3" s="1"/>
  <c r="DB8" i="3"/>
  <c r="DC8" i="3" s="1"/>
  <c r="DB42" i="3"/>
  <c r="DC42" i="3" s="1"/>
  <c r="DB27" i="3"/>
  <c r="DC27" i="3" s="1"/>
  <c r="DB49" i="3"/>
  <c r="DC49" i="3" s="1"/>
  <c r="DB40" i="3"/>
  <c r="DC40" i="3" s="1"/>
  <c r="DB41" i="3"/>
  <c r="DC41" i="3" s="1"/>
  <c r="DB51" i="3"/>
  <c r="DC51" i="3" s="1"/>
  <c r="DB19" i="3"/>
  <c r="DC19" i="3" s="1"/>
  <c r="DB52" i="3"/>
  <c r="DC52" i="3" s="1"/>
  <c r="DB32" i="3"/>
  <c r="DC32" i="3" s="1"/>
  <c r="DB48" i="3"/>
  <c r="DC48" i="3" s="1"/>
  <c r="DB12" i="3"/>
  <c r="DC12" i="3" s="1"/>
  <c r="DB31" i="3"/>
  <c r="DC31" i="3" s="1"/>
  <c r="DB9" i="3"/>
  <c r="DC9" i="3" s="1"/>
  <c r="DB43" i="3"/>
  <c r="DC43" i="3" s="1"/>
  <c r="DB46" i="3"/>
  <c r="DC46" i="3" s="1"/>
  <c r="DB17" i="3"/>
  <c r="DC17" i="3" s="1"/>
  <c r="DB35" i="3"/>
  <c r="DC35" i="3" s="1"/>
  <c r="DB28" i="3"/>
  <c r="DC28" i="3" s="1"/>
  <c r="DB25" i="3"/>
  <c r="DC25" i="3" s="1"/>
  <c r="DB21" i="3"/>
  <c r="DC21" i="3" s="1"/>
  <c r="DB16" i="3"/>
  <c r="DC16" i="3" s="1"/>
  <c r="DB10" i="3"/>
  <c r="DC10" i="3" s="1"/>
  <c r="DB26" i="3"/>
  <c r="DC26" i="3" s="1"/>
  <c r="DB20" i="3"/>
  <c r="DC20" i="3" s="1"/>
  <c r="DB15" i="3"/>
  <c r="DC15" i="3" s="1"/>
  <c r="DB34" i="3"/>
  <c r="DC34" i="3" s="1"/>
  <c r="DB14" i="3"/>
  <c r="DC14" i="3" s="1"/>
  <c r="DB47" i="3"/>
  <c r="DC47" i="3" s="1"/>
  <c r="DB7" i="3"/>
  <c r="DC7" i="3" s="1"/>
  <c r="DB11" i="3"/>
  <c r="DC11" i="3" s="1"/>
  <c r="DB18" i="3"/>
  <c r="DC18" i="3" s="1"/>
  <c r="DB13" i="3"/>
  <c r="DC13" i="3" s="1"/>
  <c r="DB6" i="3"/>
  <c r="DC6" i="3" s="1"/>
  <c r="DB36" i="3"/>
  <c r="DC36" i="3" s="1"/>
  <c r="DB39" i="3"/>
  <c r="DC39" i="3" s="1"/>
  <c r="DD35" i="3" l="1"/>
  <c r="BM35" i="3" s="1"/>
  <c r="DD32" i="3"/>
  <c r="BM32" i="3" s="1"/>
  <c r="DD47" i="3"/>
  <c r="BM47" i="3" s="1"/>
  <c r="DD31" i="3"/>
  <c r="BM31" i="3" s="1"/>
  <c r="DD51" i="3"/>
  <c r="BM51" i="3" s="1"/>
  <c r="DD24" i="3"/>
  <c r="BM24" i="3" s="1"/>
  <c r="DD42" i="3"/>
  <c r="BM42" i="3" s="1"/>
  <c r="DD53" i="3"/>
  <c r="BM53" i="3" s="1"/>
  <c r="DD28" i="3"/>
  <c r="BM28" i="3" s="1"/>
  <c r="DD43" i="3"/>
  <c r="BM43" i="3" s="1"/>
  <c r="DD40" i="3"/>
  <c r="BM40" i="3" s="1"/>
  <c r="DD13" i="3"/>
  <c r="BM13" i="3" s="1"/>
  <c r="DD6" i="3"/>
  <c r="BM6" i="3" s="1"/>
  <c r="DD15" i="3"/>
  <c r="BM15" i="3" s="1"/>
  <c r="DD18" i="3"/>
  <c r="BM18" i="3" s="1"/>
  <c r="DD12" i="3"/>
  <c r="BM12" i="3" s="1"/>
  <c r="DD17" i="3"/>
  <c r="BM17" i="3" s="1"/>
  <c r="DD41" i="3"/>
  <c r="BM41" i="3" s="1"/>
  <c r="DD27" i="3"/>
  <c r="BM27" i="3" s="1"/>
  <c r="DD30" i="3"/>
  <c r="BM30" i="3" s="1"/>
  <c r="DD39" i="3"/>
  <c r="BM39" i="3" s="1"/>
  <c r="DD20" i="3"/>
  <c r="BM20" i="3" s="1"/>
  <c r="DD34" i="3"/>
  <c r="BM34" i="3" s="1"/>
  <c r="DD9" i="3"/>
  <c r="BM9" i="3" s="1"/>
  <c r="DD37" i="3"/>
  <c r="BM37" i="3" s="1"/>
  <c r="DD19" i="3"/>
  <c r="BM19" i="3" s="1"/>
  <c r="DD14" i="3"/>
  <c r="BM14" i="3" s="1"/>
  <c r="DD11" i="3"/>
  <c r="BM11" i="3" s="1"/>
  <c r="DD29" i="3"/>
  <c r="BM29" i="3" s="1"/>
  <c r="DD38" i="3"/>
  <c r="BM38" i="3" s="1"/>
  <c r="DD21" i="3"/>
  <c r="BM21" i="3" s="1"/>
  <c r="DD8" i="3"/>
  <c r="BM8" i="3" s="1"/>
  <c r="DD23" i="3"/>
  <c r="BM23" i="3" s="1"/>
  <c r="DD25" i="3"/>
  <c r="BM25" i="3" s="1"/>
  <c r="DD26" i="3"/>
  <c r="BM26" i="3" s="1"/>
  <c r="DD52" i="3"/>
  <c r="BM52" i="3" s="1"/>
  <c r="DD46" i="3"/>
  <c r="BM46" i="3" s="1"/>
  <c r="DD49" i="3"/>
  <c r="BM49" i="3" s="1"/>
  <c r="DD36" i="3"/>
  <c r="BM36" i="3" s="1"/>
  <c r="DD48" i="3"/>
  <c r="BM48" i="3" s="1"/>
  <c r="DD16" i="3"/>
  <c r="BM16" i="3" s="1"/>
  <c r="DD45" i="3"/>
  <c r="BM45" i="3" s="1"/>
  <c r="DD7" i="3"/>
  <c r="BM7" i="3" s="1"/>
  <c r="DD22" i="3"/>
  <c r="BM22" i="3" s="1"/>
  <c r="DD10" i="3"/>
  <c r="BM10" i="3" s="1"/>
  <c r="DD50" i="3"/>
  <c r="BM50" i="3" s="1"/>
  <c r="DD33" i="3"/>
  <c r="BM33" i="3" s="1"/>
  <c r="DD44" i="3"/>
  <c r="BM44" i="3" s="1"/>
  <c r="DQ7" i="3" l="1"/>
  <c r="DJ7" i="3" s="1"/>
  <c r="DQ8" i="3"/>
  <c r="DJ8" i="3" s="1"/>
  <c r="AV80" i="3"/>
  <c r="DQ17" i="3"/>
  <c r="DJ17" i="3" s="1"/>
  <c r="AV25" i="3"/>
  <c r="AV24" i="3"/>
  <c r="AV14" i="3"/>
  <c r="DQ6" i="3"/>
  <c r="DJ6" i="3" s="1"/>
  <c r="AV78" i="3"/>
  <c r="DQ18" i="3"/>
  <c r="DJ18" i="3" s="1"/>
  <c r="AV46" i="3"/>
  <c r="AV22" i="3"/>
  <c r="AV89" i="3"/>
  <c r="AV49" i="3"/>
  <c r="DQ12" i="3"/>
  <c r="DJ12" i="3" s="1"/>
  <c r="DQ9" i="3"/>
  <c r="DJ9" i="3" s="1"/>
  <c r="DQ33" i="3"/>
  <c r="DJ33" i="3" s="1"/>
  <c r="AV54" i="3"/>
  <c r="DQ27" i="3"/>
  <c r="DJ27" i="3" s="1"/>
  <c r="DQ19" i="3"/>
  <c r="DJ19" i="3" s="1"/>
  <c r="AV57" i="3"/>
  <c r="DQ14" i="3"/>
  <c r="DJ14" i="3" s="1"/>
  <c r="AV62" i="3"/>
  <c r="AV40" i="3"/>
  <c r="AV95" i="3"/>
  <c r="AV15" i="3"/>
  <c r="DQ53" i="3"/>
  <c r="DJ53" i="3" s="1"/>
  <c r="AV70" i="3"/>
  <c r="DQ16" i="3"/>
  <c r="DJ16" i="3" s="1"/>
  <c r="DQ11" i="3"/>
  <c r="DJ11" i="3" s="1"/>
  <c r="DQ35" i="3"/>
  <c r="DJ35" i="3" s="1"/>
  <c r="AV88" i="3"/>
  <c r="DQ32" i="3"/>
  <c r="DJ32" i="3" s="1"/>
  <c r="AV56" i="3"/>
  <c r="DQ48" i="3"/>
  <c r="DJ48" i="3" s="1"/>
  <c r="AV17" i="3"/>
  <c r="DQ50" i="3"/>
  <c r="DJ50" i="3" s="1"/>
  <c r="AV79" i="3"/>
  <c r="DQ45" i="3"/>
  <c r="DJ45" i="3" s="1"/>
  <c r="AV87" i="3"/>
  <c r="AV47" i="3"/>
  <c r="DQ30" i="3"/>
  <c r="DJ30" i="3" s="1"/>
  <c r="AV32" i="3"/>
  <c r="DQ41" i="3"/>
  <c r="DJ41" i="3" s="1"/>
  <c r="AV65" i="3"/>
  <c r="AV72" i="3"/>
  <c r="DQ15" i="3"/>
  <c r="DJ15" i="3" s="1"/>
  <c r="DQ28" i="3"/>
  <c r="DJ28" i="3" s="1"/>
  <c r="DQ49" i="3"/>
  <c r="DJ49" i="3" s="1"/>
  <c r="AV86" i="3"/>
  <c r="DQ22" i="3"/>
  <c r="DJ22" i="3" s="1"/>
  <c r="DQ40" i="3"/>
  <c r="DJ40" i="3" s="1"/>
  <c r="DQ47" i="3"/>
  <c r="DJ47" i="3" s="1"/>
  <c r="DQ25" i="3"/>
  <c r="DJ25" i="3" s="1"/>
  <c r="DQ26" i="3"/>
  <c r="DJ26" i="3" s="1"/>
  <c r="DQ21" i="3"/>
  <c r="DJ21" i="3" s="1"/>
  <c r="DQ20" i="3"/>
  <c r="DJ20" i="3" s="1"/>
  <c r="DQ38" i="3"/>
  <c r="DJ38" i="3" s="1"/>
  <c r="AV38" i="3"/>
  <c r="AV71" i="3"/>
  <c r="AV41" i="3"/>
  <c r="DQ44" i="3"/>
  <c r="DJ44" i="3" s="1"/>
  <c r="DQ23" i="3"/>
  <c r="DJ23" i="3" s="1"/>
  <c r="AV64" i="3"/>
  <c r="DQ36" i="3"/>
  <c r="DJ36" i="3" s="1"/>
  <c r="AV8" i="3"/>
  <c r="DQ31" i="3"/>
  <c r="DJ31" i="3" s="1"/>
  <c r="DQ39" i="3"/>
  <c r="DJ39" i="3" s="1"/>
  <c r="DQ43" i="3"/>
  <c r="DJ43" i="3" s="1"/>
  <c r="AV55" i="3"/>
  <c r="AV33" i="3"/>
  <c r="AV16" i="3"/>
  <c r="DQ37" i="3"/>
  <c r="DJ37" i="3" s="1"/>
  <c r="AV39" i="3"/>
  <c r="AV31" i="3"/>
  <c r="AV9" i="3"/>
  <c r="AV30" i="3"/>
  <c r="DQ34" i="3"/>
  <c r="DJ34" i="3" s="1"/>
  <c r="DQ24" i="3"/>
  <c r="DJ24" i="3" s="1"/>
  <c r="DQ29" i="3"/>
  <c r="DJ29" i="3" s="1"/>
  <c r="AV48" i="3"/>
  <c r="AV6" i="3"/>
  <c r="AV97" i="3"/>
  <c r="DQ46" i="3"/>
  <c r="DJ46" i="3" s="1"/>
  <c r="AV96" i="3"/>
  <c r="AV63" i="3"/>
  <c r="AV81" i="3"/>
  <c r="DQ10" i="3"/>
  <c r="DJ10" i="3" s="1"/>
  <c r="DQ52" i="3"/>
  <c r="DJ52" i="3" s="1"/>
  <c r="AV7" i="3"/>
  <c r="DQ51" i="3"/>
  <c r="DJ51" i="3" s="1"/>
  <c r="AV73" i="3"/>
  <c r="AV23" i="3"/>
  <c r="DQ42" i="3"/>
  <c r="DJ42" i="3" s="1"/>
  <c r="AV94" i="3"/>
  <c r="DQ13" i="3"/>
  <c r="DJ13" i="3" s="1"/>
  <c r="DL33" i="3" l="1"/>
  <c r="AU57" i="3" s="1"/>
  <c r="DL31" i="3"/>
  <c r="AU55" i="3" s="1"/>
  <c r="DL32" i="3"/>
  <c r="AU56" i="3" s="1"/>
  <c r="DL30" i="3"/>
  <c r="AU54" i="3" s="1"/>
  <c r="DL25" i="3"/>
  <c r="AU41" i="3" s="1"/>
  <c r="DL11" i="3"/>
  <c r="DM11" i="3" s="1"/>
  <c r="DL52" i="3"/>
  <c r="AU96" i="3" s="1"/>
  <c r="DL37" i="3"/>
  <c r="AU65" i="3" s="1"/>
  <c r="DL49" i="3"/>
  <c r="AU89" i="3" s="1"/>
  <c r="DF8" i="3"/>
  <c r="DF7" i="3"/>
  <c r="DL27" i="3"/>
  <c r="AU47" i="3" s="1"/>
  <c r="DL13" i="3"/>
  <c r="AU17" i="3" s="1"/>
  <c r="DL10" i="3"/>
  <c r="AU14" i="3" s="1"/>
  <c r="DL14" i="3"/>
  <c r="DM14" i="3" s="1"/>
  <c r="DL46" i="3"/>
  <c r="AU86" i="3" s="1"/>
  <c r="DL18" i="3"/>
  <c r="AU30" i="3" s="1"/>
  <c r="DL43" i="3"/>
  <c r="AU79" i="3" s="1"/>
  <c r="DL9" i="3"/>
  <c r="AU9" i="3" s="1"/>
  <c r="DL50" i="3"/>
  <c r="DN50" i="3" s="1" a="1"/>
  <c r="DN50" i="3" s="1"/>
  <c r="DL8" i="3"/>
  <c r="AU8" i="3" s="1"/>
  <c r="DL6" i="3"/>
  <c r="AU6" i="3" s="1"/>
  <c r="DL45" i="3"/>
  <c r="DN45" i="3" s="1" a="1"/>
  <c r="DN45" i="3" s="1"/>
  <c r="DL16" i="3"/>
  <c r="AU24" i="3" s="1"/>
  <c r="DL22" i="3"/>
  <c r="AU38" i="3" s="1"/>
  <c r="DL48" i="3"/>
  <c r="AU88" i="3" s="1"/>
  <c r="DL47" i="3"/>
  <c r="AU87" i="3" s="1"/>
  <c r="DL7" i="3"/>
  <c r="DN7" i="3" s="1" a="1"/>
  <c r="DN7" i="3" s="1"/>
  <c r="DL40" i="3"/>
  <c r="AU72" i="3" s="1"/>
  <c r="DL21" i="3"/>
  <c r="AU33" i="3" s="1"/>
  <c r="DL51" i="3"/>
  <c r="AU95" i="3" s="1"/>
  <c r="DL28" i="3"/>
  <c r="AU48" i="3" s="1"/>
  <c r="DL15" i="3"/>
  <c r="AU23" i="3" s="1"/>
  <c r="DL53" i="3"/>
  <c r="AU97" i="3" s="1"/>
  <c r="DL12" i="3"/>
  <c r="AU16" i="3" s="1"/>
  <c r="DL20" i="3"/>
  <c r="DN20" i="3" s="1" a="1"/>
  <c r="DN20" i="3" s="1"/>
  <c r="DL41" i="3"/>
  <c r="DL36" i="3"/>
  <c r="AU64" i="3" s="1"/>
  <c r="DL19" i="3"/>
  <c r="AU31" i="3" s="1"/>
  <c r="DL26" i="3"/>
  <c r="DL35" i="3"/>
  <c r="AU63" i="3" s="1"/>
  <c r="DL29" i="3"/>
  <c r="DN29" i="3" s="1" a="1"/>
  <c r="DN29" i="3" s="1"/>
  <c r="DL24" i="3"/>
  <c r="AU40" i="3" s="1"/>
  <c r="DL23" i="3"/>
  <c r="AU39" i="3" s="1"/>
  <c r="DL42" i="3"/>
  <c r="AU78" i="3" s="1"/>
  <c r="DL34" i="3"/>
  <c r="AU62" i="3" s="1"/>
  <c r="DL44" i="3"/>
  <c r="AU80" i="3" s="1"/>
  <c r="DN33" i="3" a="1"/>
  <c r="DN33" i="3" s="1"/>
  <c r="DL39" i="3"/>
  <c r="AU71" i="3" s="1"/>
  <c r="DL38" i="3"/>
  <c r="AU70" i="3" s="1"/>
  <c r="DL17" i="3"/>
  <c r="AU25" i="3" s="1"/>
  <c r="DN31" i="3" a="1"/>
  <c r="DN31" i="3" s="1"/>
  <c r="DM33" i="3" l="1"/>
  <c r="DN49" i="3" a="1"/>
  <c r="DN49" i="3" s="1"/>
  <c r="DN32" i="3" a="1"/>
  <c r="DN32" i="3" s="1"/>
  <c r="DM25" i="3"/>
  <c r="DN30" i="3" a="1"/>
  <c r="DN30" i="3" s="1"/>
  <c r="DM32" i="3"/>
  <c r="DM31" i="3"/>
  <c r="DM30" i="3"/>
  <c r="DN25" i="3" a="1"/>
  <c r="DN25" i="3" s="1"/>
  <c r="DM13" i="3"/>
  <c r="DM52" i="3"/>
  <c r="DM51" i="3"/>
  <c r="DN52" i="3" a="1"/>
  <c r="DN52" i="3" s="1"/>
  <c r="DM10" i="3"/>
  <c r="DN11" i="3" a="1"/>
  <c r="DN11" i="3" s="1"/>
  <c r="DM40" i="3"/>
  <c r="AU15" i="3"/>
  <c r="AU13" i="3" s="1"/>
  <c r="AV12" i="3" s="1"/>
  <c r="DM37" i="3"/>
  <c r="DN19" i="3" a="1"/>
  <c r="DN19" i="3" s="1"/>
  <c r="DM34" i="3"/>
  <c r="DN37" i="3" a="1"/>
  <c r="DN37" i="3" s="1"/>
  <c r="DN34" i="3" a="1"/>
  <c r="DN34" i="3" s="1"/>
  <c r="DN46" i="3" a="1"/>
  <c r="DN46" i="3" s="1"/>
  <c r="DN51" i="3" a="1"/>
  <c r="DN51" i="3" s="1"/>
  <c r="DN28" i="3" a="1"/>
  <c r="DN28" i="3" s="1"/>
  <c r="DM19" i="3"/>
  <c r="DN43" i="3" a="1"/>
  <c r="DN43" i="3" s="1"/>
  <c r="DN27" i="3" a="1"/>
  <c r="DN27" i="3" s="1"/>
  <c r="DM35" i="3"/>
  <c r="DN18" i="3" a="1"/>
  <c r="DN18" i="3" s="1"/>
  <c r="DM46" i="3"/>
  <c r="DN16" i="3" a="1"/>
  <c r="DN16" i="3" s="1"/>
  <c r="DM53" i="3"/>
  <c r="DM49" i="3"/>
  <c r="DM22" i="3"/>
  <c r="DN17" i="3" a="1"/>
  <c r="DN17" i="3" s="1"/>
  <c r="DM16" i="3"/>
  <c r="DM28" i="3"/>
  <c r="DM15" i="3"/>
  <c r="AU85" i="3"/>
  <c r="AV84" i="3" s="1"/>
  <c r="DM17" i="3"/>
  <c r="DN42" i="3" a="1"/>
  <c r="DN42" i="3" s="1"/>
  <c r="AU61" i="3"/>
  <c r="AV60" i="3" s="1"/>
  <c r="DM36" i="3"/>
  <c r="DM42" i="3"/>
  <c r="DM20" i="3"/>
  <c r="AU37" i="3"/>
  <c r="AV36" i="3" s="1"/>
  <c r="DM6" i="3"/>
  <c r="DN6" i="3" a="1"/>
  <c r="DN6" i="3" s="1"/>
  <c r="DN8" i="3" a="1"/>
  <c r="DN8" i="3" s="1"/>
  <c r="DN38" i="3" a="1"/>
  <c r="DN38" i="3" s="1"/>
  <c r="DN36" i="3" a="1"/>
  <c r="DN36" i="3" s="1"/>
  <c r="DN40" i="3" a="1"/>
  <c r="DN40" i="3" s="1"/>
  <c r="DM24" i="3"/>
  <c r="DN47" i="3" a="1"/>
  <c r="DN47" i="3" s="1"/>
  <c r="DM27" i="3"/>
  <c r="DM21" i="3"/>
  <c r="DN13" i="3" a="1"/>
  <c r="DN13" i="3" s="1"/>
  <c r="DM8" i="3"/>
  <c r="DN21" i="3" a="1"/>
  <c r="DN21" i="3" s="1"/>
  <c r="DM38" i="3"/>
  <c r="DN10" i="3" a="1"/>
  <c r="DN10" i="3" s="1"/>
  <c r="DN39" i="3" a="1"/>
  <c r="DN39" i="3" s="1"/>
  <c r="DM44" i="3"/>
  <c r="DM23" i="3"/>
  <c r="DN22" i="3" a="1"/>
  <c r="DN22" i="3" s="1"/>
  <c r="DM29" i="3"/>
  <c r="AU46" i="3"/>
  <c r="DN26" i="3" a="1"/>
  <c r="DN26" i="3" s="1"/>
  <c r="DM26" i="3"/>
  <c r="DN24" i="3" a="1"/>
  <c r="DN24" i="3" s="1"/>
  <c r="DM48" i="3"/>
  <c r="AU49" i="3"/>
  <c r="DM50" i="3"/>
  <c r="AU81" i="3"/>
  <c r="AU77" i="3" s="1"/>
  <c r="AV76" i="3" s="1"/>
  <c r="DM45" i="3"/>
  <c r="AU22" i="3"/>
  <c r="AU21" i="3" s="1"/>
  <c r="AV20" i="3" s="1"/>
  <c r="DN14" i="3" a="1"/>
  <c r="DN14" i="3" s="1"/>
  <c r="AU32" i="3"/>
  <c r="AU29" i="3" s="1"/>
  <c r="AV28" i="3" s="1"/>
  <c r="DN44" i="3" a="1"/>
  <c r="DN44" i="3" s="1"/>
  <c r="DN35" i="3" a="1"/>
  <c r="DN35" i="3" s="1"/>
  <c r="DN48" i="3" a="1"/>
  <c r="DN48" i="3" s="1"/>
  <c r="AU94" i="3"/>
  <c r="AU93" i="3" s="1"/>
  <c r="AV92" i="3" s="1"/>
  <c r="DM43" i="3"/>
  <c r="DM9" i="3"/>
  <c r="DM47" i="3"/>
  <c r="DN12" i="3" a="1"/>
  <c r="DN12" i="3" s="1"/>
  <c r="DM7" i="3"/>
  <c r="DN9" i="3" a="1"/>
  <c r="DN9" i="3" s="1"/>
  <c r="DM12" i="3"/>
  <c r="DN53" i="3" a="1"/>
  <c r="DN53" i="3" s="1"/>
  <c r="DM39" i="3"/>
  <c r="AU7" i="3"/>
  <c r="AU5" i="3" s="1"/>
  <c r="AV4" i="3" s="1"/>
  <c r="DM18" i="3"/>
  <c r="DN15" i="3" a="1"/>
  <c r="DN15" i="3" s="1"/>
  <c r="DN23" i="3" a="1"/>
  <c r="DN23" i="3" s="1"/>
  <c r="AU73" i="3"/>
  <c r="AU69" i="3" s="1"/>
  <c r="AV68" i="3" s="1"/>
  <c r="DM41" i="3"/>
  <c r="DN41" i="3" a="1"/>
  <c r="DN41" i="3" s="1"/>
  <c r="AU53" i="3"/>
  <c r="AV52" i="3" s="1"/>
  <c r="DF10" i="3" l="1"/>
  <c r="DF16" i="3"/>
  <c r="DF12" i="3"/>
  <c r="DF24" i="3"/>
  <c r="DF21" i="3"/>
  <c r="DF9" i="3"/>
  <c r="DF23" i="3"/>
  <c r="DF19" i="3"/>
  <c r="DF25" i="3"/>
  <c r="AU45" i="3"/>
  <c r="AV44" i="3" s="1"/>
  <c r="DF37" i="3" s="1"/>
  <c r="DF22" i="3"/>
  <c r="DF14" i="3"/>
  <c r="DF18" i="3"/>
  <c r="DF20" i="3" l="1"/>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F59" i="3" s="1"/>
  <c r="BJ59" i="3" s="1"/>
  <c r="BI67" i="3"/>
  <c r="M107" i="3"/>
  <c r="AA107" i="3" s="1"/>
  <c r="AA33" i="45" s="1"/>
  <c r="H4" i="45"/>
  <c r="AO6" i="3"/>
  <c r="AM6" i="3"/>
  <c r="I4" i="45" s="1"/>
  <c r="AN6" i="3"/>
  <c r="AR6" i="3"/>
  <c r="AA9" i="45"/>
  <c r="AP14" i="3"/>
  <c r="AQ14" i="3"/>
  <c r="AQ6" i="3"/>
  <c r="AP6" i="3"/>
  <c r="AS6" i="3"/>
  <c r="AT6" i="3"/>
  <c r="J4" i="45" s="1"/>
  <c r="H12" i="45"/>
  <c r="AK14" i="3" a="1"/>
  <c r="AK14" i="3" s="1"/>
  <c r="M113" i="3"/>
  <c r="AA113" i="3" s="1"/>
  <c r="D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D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D103" i="3" s="1"/>
  <c r="AK38" i="3" a="1"/>
  <c r="AK38" i="3" s="1"/>
  <c r="AS38" i="3"/>
  <c r="AO38" i="3"/>
  <c r="AQ38" i="3"/>
  <c r="AN38" i="3"/>
  <c r="AR38" i="3"/>
  <c r="AP38" i="3"/>
  <c r="D112" i="3" l="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L59" i="3" s="1"/>
  <c r="BK61" i="3"/>
  <c r="BK65" i="3"/>
  <c r="BL65" i="3" s="1"/>
  <c r="BK64" i="3"/>
  <c r="BK68" i="3"/>
  <c r="BJ68" i="3"/>
  <c r="BE66" i="3"/>
  <c r="BR66" i="3" s="1"/>
  <c r="BE59" i="3"/>
  <c r="BR59" i="3" s="1"/>
  <c r="BK63" i="3"/>
  <c r="BL63" i="3" s="1"/>
  <c r="BJ69" i="3"/>
  <c r="BK69" i="3"/>
  <c r="D104" i="3"/>
  <c r="AG104" i="3" s="1"/>
  <c r="AG116" i="3"/>
  <c r="N127" i="3"/>
  <c r="AF127" i="3" s="1"/>
  <c r="AG115" i="3"/>
  <c r="M126" i="3"/>
  <c r="AA126" i="3" s="1"/>
  <c r="AG114" i="3"/>
  <c r="N126" i="3"/>
  <c r="AF126" i="3" s="1"/>
  <c r="AG113" i="3"/>
  <c r="M127" i="3"/>
  <c r="AA127" i="3" s="1"/>
  <c r="D127" i="3" s="1"/>
  <c r="AG112" i="3"/>
  <c r="M124" i="3"/>
  <c r="AA124" i="3" s="1"/>
  <c r="AG111" i="3"/>
  <c r="N124" i="3"/>
  <c r="AF124" i="3" s="1"/>
  <c r="N125" i="3"/>
  <c r="AF125" i="3" s="1"/>
  <c r="AG109" i="3"/>
  <c r="N120" i="3"/>
  <c r="AF121" i="3" s="1"/>
  <c r="AG106" i="3"/>
  <c r="N123" i="3"/>
  <c r="AF123" i="3" s="1"/>
  <c r="AG108" i="3"/>
  <c r="N122" i="3"/>
  <c r="AF122" i="3" s="1"/>
  <c r="AG105" i="3"/>
  <c r="AG103" i="3"/>
  <c r="M120" i="3"/>
  <c r="AA121" i="3" s="1"/>
  <c r="D121" i="3" s="1"/>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D124" i="3" l="1"/>
  <c r="BL64" i="3"/>
  <c r="BE58" i="3"/>
  <c r="BR58" i="3" s="1"/>
  <c r="BJ58" i="3"/>
  <c r="BL58" i="3" s="1"/>
  <c r="BE67" i="3"/>
  <c r="BR67" i="3" s="1"/>
  <c r="BK67" i="3"/>
  <c r="BL67" i="3" s="1"/>
  <c r="BK62" i="3"/>
  <c r="BL62" i="3" s="1"/>
  <c r="BE62" i="3"/>
  <c r="BR62" i="3" s="1"/>
  <c r="BL61" i="3"/>
  <c r="BL66" i="3"/>
  <c r="BL60" i="3"/>
  <c r="N121" i="3"/>
  <c r="AF120" i="3" s="1"/>
  <c r="BL68" i="3"/>
  <c r="BL69" i="3"/>
  <c r="D126" i="3"/>
  <c r="M134" i="3" s="1"/>
  <c r="AA134" i="3" s="1"/>
  <c r="D134" i="3" s="1"/>
  <c r="AG127" i="3"/>
  <c r="N134" i="3"/>
  <c r="AF134" i="3" s="1"/>
  <c r="AG122" i="3"/>
  <c r="M133" i="3"/>
  <c r="AA133" i="3" s="1"/>
  <c r="M132" i="3"/>
  <c r="AA132" i="3" s="1"/>
  <c r="D132" i="3" s="1"/>
  <c r="AG124" i="3"/>
  <c r="M131" i="3"/>
  <c r="AA131" i="3" s="1"/>
  <c r="D131" i="3" s="1"/>
  <c r="AG121" i="3"/>
  <c r="C197" i="31"/>
  <c r="AE47" i="45"/>
  <c r="C206" i="31"/>
  <c r="AE41" i="45"/>
  <c r="C196" i="31"/>
  <c r="AE40" i="45"/>
  <c r="C188" i="31"/>
  <c r="B206" i="31"/>
  <c r="AE46" i="45"/>
  <c r="B207" i="31"/>
  <c r="C207" i="31"/>
  <c r="C189" i="31"/>
  <c r="C186" i="31"/>
  <c r="AE16" i="45"/>
  <c r="B204" i="31"/>
  <c r="C194" i="31"/>
  <c r="AE17" i="45"/>
  <c r="C204" i="31"/>
  <c r="C184" i="31"/>
  <c r="C202" i="31"/>
  <c r="B202" i="31"/>
  <c r="AE28" i="45"/>
  <c r="AE4" i="45"/>
  <c r="C201" i="31"/>
  <c r="C183" i="31"/>
  <c r="B201" i="31"/>
  <c r="C191" i="31"/>
  <c r="AE5" i="45"/>
  <c r="AE29" i="45"/>
  <c r="C192" i="31"/>
  <c r="C195" i="31"/>
  <c r="AE23" i="45"/>
  <c r="AE35" i="45"/>
  <c r="C193" i="31"/>
  <c r="C182" i="31"/>
  <c r="AE10" i="45"/>
  <c r="C200" i="31" l="1"/>
  <c r="D120" i="3"/>
  <c r="BS63" i="3"/>
  <c r="BS68" i="3"/>
  <c r="BS66" i="3"/>
  <c r="BS65" i="3"/>
  <c r="BS58" i="3"/>
  <c r="BS69" i="3"/>
  <c r="BS60" i="3"/>
  <c r="BS64" i="3"/>
  <c r="BS67" i="3"/>
  <c r="BS62" i="3"/>
  <c r="BS61" i="3"/>
  <c r="BS59" i="3"/>
  <c r="C190" i="31"/>
  <c r="AE11" i="45"/>
  <c r="B200" i="31"/>
  <c r="AG126" i="3"/>
  <c r="AG134" i="3"/>
  <c r="N139" i="3"/>
  <c r="AF139" i="3" s="1"/>
  <c r="N138" i="3"/>
  <c r="AF138" i="3" s="1"/>
  <c r="AG132" i="3"/>
  <c r="M138" i="3"/>
  <c r="AA138" i="3" s="1"/>
  <c r="AG131" i="3"/>
  <c r="AI44" i="45"/>
  <c r="C217" i="31"/>
  <c r="C211" i="31"/>
  <c r="AI19" i="45"/>
  <c r="C212" i="31"/>
  <c r="AI31" i="45"/>
  <c r="AI43" i="45"/>
  <c r="C213" i="31"/>
  <c r="B223" i="31"/>
  <c r="C223" i="31"/>
  <c r="AI7" i="45"/>
  <c r="C210" i="31"/>
  <c r="N131" i="3" l="1"/>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7" i="3"/>
  <c r="D139" i="3"/>
  <c r="H138" i="3"/>
  <c r="AA143" i="3"/>
  <c r="D138" i="3"/>
  <c r="AA147" i="3"/>
  <c r="AM38" i="45" a="1"/>
  <c r="AM38" i="45" s="1"/>
  <c r="C229" i="31"/>
  <c r="C228" i="31"/>
  <c r="AM14" i="45"/>
  <c r="AM13" i="45"/>
  <c r="B232" i="31"/>
  <c r="C226" i="31"/>
  <c r="C232" i="31"/>
  <c r="C220" i="31" l="1"/>
  <c r="C214" i="31"/>
  <c r="B220" i="31"/>
  <c r="AI8" i="45"/>
  <c r="BV61" i="3"/>
  <c r="BV60" i="3"/>
  <c r="BV66" i="3"/>
  <c r="BV69" i="3"/>
  <c r="BV65" i="3"/>
  <c r="BV68" i="3"/>
  <c r="BV62" i="3"/>
  <c r="BV59" i="3"/>
  <c r="BV64" i="3"/>
  <c r="BV58" i="3"/>
  <c r="BV67" i="3"/>
  <c r="BV63" i="3"/>
  <c r="D147" i="3"/>
  <c r="AG147" i="3" s="1"/>
  <c r="AA150" i="3"/>
  <c r="H147" i="3"/>
  <c r="AA151" i="3"/>
  <c r="AG139" i="3"/>
  <c r="N143" i="3"/>
  <c r="N147" i="3"/>
  <c r="AU26" i="45"/>
  <c r="C241" i="31"/>
  <c r="C240" i="31"/>
  <c r="C247" i="31"/>
  <c r="B247" i="31"/>
  <c r="AU25" i="45"/>
  <c r="AG138" i="3"/>
  <c r="M147" i="3"/>
  <c r="M143" i="3"/>
  <c r="AQ31" i="45"/>
  <c r="C236"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C251" i="31"/>
  <c r="BB23" i="45"/>
  <c r="AG151" i="3"/>
  <c r="C250" i="31"/>
  <c r="BA21" i="45"/>
  <c r="AG150" i="3"/>
  <c r="BY59" i="3" l="1"/>
  <c r="BO20" i="45"/>
  <c r="BO27" i="45"/>
  <c r="BO43" i="45"/>
  <c r="BO13" i="45"/>
  <c r="BO14" i="45"/>
  <c r="BO8" i="45"/>
  <c r="BO35" i="45"/>
  <c r="BO11" i="45"/>
  <c r="BO40" i="45"/>
  <c r="BO44" i="45"/>
  <c r="BO12" i="45"/>
  <c r="BO21" i="45"/>
  <c r="BO42" i="45"/>
  <c r="BO24" i="45"/>
  <c r="BO29" i="45"/>
  <c r="BO37" i="45"/>
  <c r="BO5" i="45"/>
  <c r="BO19" i="45"/>
  <c r="BO34" i="45"/>
  <c r="BO15" i="45"/>
  <c r="BO47" i="45"/>
  <c r="BO4" i="45"/>
  <c r="BO31" i="45"/>
  <c r="BO25" i="45"/>
  <c r="BO16" i="45"/>
  <c r="BO33" i="45"/>
  <c r="BO23" i="45"/>
  <c r="BO41" i="45"/>
  <c r="BO49" i="45"/>
  <c r="BO36" i="45"/>
  <c r="BO22" i="45"/>
  <c r="BO30" i="45"/>
  <c r="BO9" i="45"/>
  <c r="BO46" i="45"/>
  <c r="BO7" i="45"/>
  <c r="BO50" i="45"/>
  <c r="BO26" i="45"/>
  <c r="BO17" i="45"/>
  <c r="BO6" i="45"/>
  <c r="BO28" i="45"/>
  <c r="BO45" i="45"/>
  <c r="BO32" i="45"/>
  <c r="BO10" i="45"/>
  <c r="BO38" i="45"/>
  <c r="BO18" i="45"/>
  <c r="BO51" i="45"/>
  <c r="BO48" i="45"/>
  <c r="BO39" i="45"/>
  <c r="BN40" i="45"/>
  <c r="BN27" i="45"/>
  <c r="BN20" i="45"/>
  <c r="BN43" i="45"/>
  <c r="BN13" i="45"/>
  <c r="BN14" i="45"/>
  <c r="BN8" i="45"/>
  <c r="BN35" i="45"/>
  <c r="BN11" i="45"/>
  <c r="BN48" i="45"/>
  <c r="BN9" i="45"/>
  <c r="BN34" i="45"/>
  <c r="BN16" i="45"/>
  <c r="BN39" i="45"/>
  <c r="BN41" i="45"/>
  <c r="BN42" i="45"/>
  <c r="BN21" i="45"/>
  <c r="BN23" i="45"/>
  <c r="BN46" i="45"/>
  <c r="BN15" i="45"/>
  <c r="BN29" i="45"/>
  <c r="BN38" i="45"/>
  <c r="BN32" i="45"/>
  <c r="BN49" i="45"/>
  <c r="BN19" i="45"/>
  <c r="BN36" i="45"/>
  <c r="BN30" i="45"/>
  <c r="BN33" i="45"/>
  <c r="BN50" i="45"/>
  <c r="BN31" i="45"/>
  <c r="BN47" i="45"/>
  <c r="BN37" i="45"/>
  <c r="BN44" i="45"/>
  <c r="BN18" i="45"/>
  <c r="BN10" i="45"/>
  <c r="BN4" i="45"/>
  <c r="BN24" i="45"/>
  <c r="BN45" i="45"/>
  <c r="BN5" i="45"/>
  <c r="BN17" i="45"/>
  <c r="BN7" i="45"/>
  <c r="BN6" i="45"/>
  <c r="BN12" i="45"/>
  <c r="BN25" i="45"/>
  <c r="BN51" i="45"/>
  <c r="BN22" i="45"/>
  <c r="BN26" i="45"/>
  <c r="BN28"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C158" i="31" s="1"/>
  <c r="N102" i="3"/>
  <c r="AF103" i="3" s="1"/>
  <c r="C148" i="31" s="1"/>
  <c r="N108" i="3"/>
  <c r="AF108" i="3" s="1"/>
  <c r="B171" i="31" s="1"/>
  <c r="N105" i="3"/>
  <c r="AF106" i="3" s="1"/>
  <c r="C169" i="31" s="1"/>
  <c r="N115" i="3"/>
  <c r="AF116" i="3" s="1"/>
  <c r="AA49" i="45" s="1"/>
  <c r="N110" i="3"/>
  <c r="AF109" i="3" s="1"/>
  <c r="C172" i="31" s="1"/>
  <c r="N107" i="3"/>
  <c r="AF107" i="3" s="1"/>
  <c r="N109" i="3"/>
  <c r="AF110" i="3" s="1"/>
  <c r="B497" i="40"/>
  <c r="BG124" i="3" s="1"/>
  <c r="AZ110" i="3" s="1"/>
  <c r="C155" i="31" l="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AG110" i="3" l="1"/>
  <c r="M125" i="3"/>
  <c r="AA125" i="3" s="1"/>
  <c r="AG107" i="3"/>
  <c r="M123" i="3"/>
  <c r="AA123" i="3" s="1"/>
  <c r="D125" i="3" l="1"/>
  <c r="C187" i="31"/>
  <c r="B205" i="31"/>
  <c r="C205" i="31"/>
  <c r="AE22" i="45"/>
  <c r="D123" i="3"/>
  <c r="C185" i="31"/>
  <c r="AE34" i="45"/>
  <c r="C203" i="31"/>
  <c r="B203" i="31"/>
  <c r="N132" i="3" l="1"/>
  <c r="AF132" i="3" s="1"/>
  <c r="AG125" i="3"/>
  <c r="N133" i="3"/>
  <c r="AF133" i="3" s="1"/>
  <c r="D133" i="3" s="1"/>
  <c r="AG123" i="3"/>
  <c r="AG133" i="3" l="1"/>
  <c r="M139" i="3"/>
  <c r="AA139" i="3" s="1"/>
  <c r="C221" i="31"/>
  <c r="C215" i="31"/>
  <c r="B221" i="31"/>
  <c r="AI20" i="45"/>
  <c r="B222" i="31"/>
  <c r="C222" i="31"/>
  <c r="AI32" i="45"/>
  <c r="C216" i="31"/>
  <c r="AF143" i="3" l="1"/>
  <c r="H139" i="3"/>
  <c r="C227" i="31"/>
  <c r="AM37" i="45"/>
  <c r="C233" i="31"/>
  <c r="B233" i="31"/>
  <c r="AA152" i="3" l="1"/>
  <c r="D143" i="3"/>
  <c r="AG143" i="3" s="1"/>
  <c r="C237" i="31"/>
  <c r="AQ32" i="45"/>
  <c r="B244" i="31"/>
  <c r="C244" i="31"/>
  <c r="AG152" i="3" l="1"/>
  <c r="C252" i="31"/>
  <c r="AZ25" i="45"/>
  <c r="BM14" i="45" l="1"/>
  <c r="BL14" i="45" s="1"/>
  <c r="BK14" i="45" s="1"/>
  <c r="BJ14" i="45" s="1"/>
  <c r="BI14" i="45" s="1"/>
  <c r="BH14" i="45" s="1"/>
  <c r="BM43" i="45"/>
  <c r="BL43" i="45" s="1"/>
  <c r="BK43" i="45" s="1"/>
  <c r="BJ43" i="45" s="1"/>
  <c r="BI43" i="45" s="1"/>
  <c r="BH43" i="45" s="1"/>
  <c r="BM8" i="45"/>
  <c r="BL8" i="45" s="1"/>
  <c r="BK8" i="45" s="1"/>
  <c r="BJ8" i="45" s="1"/>
  <c r="BI8" i="45" s="1"/>
  <c r="BH8" i="45" s="1"/>
  <c r="BM35" i="45"/>
  <c r="BL35" i="45" s="1"/>
  <c r="BK35" i="45" s="1"/>
  <c r="BJ35" i="45" s="1"/>
  <c r="BI35" i="45" s="1"/>
  <c r="BH35" i="45" s="1"/>
  <c r="BM40" i="45"/>
  <c r="BL40" i="45" s="1"/>
  <c r="BK40" i="45" s="1"/>
  <c r="BJ40" i="45" s="1"/>
  <c r="BI40" i="45" s="1"/>
  <c r="BH40" i="45" s="1"/>
  <c r="BM13" i="45"/>
  <c r="BL13" i="45" s="1"/>
  <c r="BK13" i="45" s="1"/>
  <c r="BJ13" i="45" s="1"/>
  <c r="BI13" i="45" s="1"/>
  <c r="BH13" i="45" s="1"/>
  <c r="BM20" i="45"/>
  <c r="BL20" i="45" s="1"/>
  <c r="BK20" i="45" s="1"/>
  <c r="BJ20" i="45" s="1"/>
  <c r="BI20" i="45" s="1"/>
  <c r="BH20" i="45" s="1"/>
  <c r="BM11" i="45"/>
  <c r="BL11" i="45" s="1"/>
  <c r="BK11" i="45" s="1"/>
  <c r="BJ11" i="45" s="1"/>
  <c r="BI11" i="45" s="1"/>
  <c r="BH11" i="45" s="1"/>
  <c r="BM27" i="45"/>
  <c r="BL27" i="45" s="1"/>
  <c r="BK27" i="45" s="1"/>
  <c r="BJ27" i="45" s="1"/>
  <c r="BI27" i="45" s="1"/>
  <c r="BH27" i="45" s="1"/>
  <c r="BM45" i="45"/>
  <c r="BL45" i="45" s="1"/>
  <c r="BK45" i="45" s="1"/>
  <c r="BJ45" i="45" s="1"/>
  <c r="BI45" i="45" s="1"/>
  <c r="BH45" i="45" s="1"/>
  <c r="BM42" i="45"/>
  <c r="BL42" i="45" s="1"/>
  <c r="BK42" i="45" s="1"/>
  <c r="BJ42" i="45" s="1"/>
  <c r="BI42" i="45" s="1"/>
  <c r="BH42" i="45" s="1"/>
  <c r="BM29" i="45"/>
  <c r="BL29" i="45" s="1"/>
  <c r="BK29" i="45" s="1"/>
  <c r="BJ29" i="45" s="1"/>
  <c r="BI29" i="45" s="1"/>
  <c r="BH29" i="45" s="1"/>
  <c r="BM10" i="45"/>
  <c r="BL10" i="45" s="1"/>
  <c r="BK10" i="45" s="1"/>
  <c r="BJ10" i="45" s="1"/>
  <c r="BI10" i="45" s="1"/>
  <c r="BH10" i="45" s="1"/>
  <c r="BM21" i="45"/>
  <c r="BL21" i="45" s="1"/>
  <c r="BK21" i="45" s="1"/>
  <c r="BJ21" i="45" s="1"/>
  <c r="BI21" i="45" s="1"/>
  <c r="BH21" i="45" s="1"/>
  <c r="BM19" i="45"/>
  <c r="BL19" i="45" s="1"/>
  <c r="BK19" i="45" s="1"/>
  <c r="BJ19" i="45" s="1"/>
  <c r="BI19" i="45" s="1"/>
  <c r="BH19" i="45" s="1"/>
  <c r="BM18" i="45"/>
  <c r="BL18" i="45" s="1"/>
  <c r="BK18" i="45" s="1"/>
  <c r="BJ18" i="45" s="1"/>
  <c r="BI18" i="45" s="1"/>
  <c r="BH18" i="45" s="1"/>
  <c r="BM37" i="45"/>
  <c r="BL37" i="45" s="1"/>
  <c r="BK37" i="45" s="1"/>
  <c r="BJ37" i="45" s="1"/>
  <c r="BI37" i="45" s="1"/>
  <c r="BH37" i="45" s="1"/>
  <c r="BM4" i="45"/>
  <c r="BL4" i="45" s="1"/>
  <c r="BK4" i="45" s="1"/>
  <c r="BJ4" i="45" s="1"/>
  <c r="BI4" i="45" s="1"/>
  <c r="BH4" i="45" s="1"/>
  <c r="BM44" i="45"/>
  <c r="BL44" i="45" s="1"/>
  <c r="BK44" i="45" s="1"/>
  <c r="BJ44" i="45" s="1"/>
  <c r="BI44" i="45" s="1"/>
  <c r="BH44" i="45" s="1"/>
  <c r="BM12" i="45"/>
  <c r="BL12" i="45" s="1"/>
  <c r="BK12" i="45" s="1"/>
  <c r="BJ12" i="45" s="1"/>
  <c r="BI12" i="45" s="1"/>
  <c r="BH12" i="45" s="1"/>
  <c r="BM17" i="45"/>
  <c r="BL17" i="45" s="1"/>
  <c r="BK17" i="45" s="1"/>
  <c r="BJ17" i="45" s="1"/>
  <c r="BI17" i="45" s="1"/>
  <c r="BH17" i="45" s="1"/>
  <c r="BM46" i="45"/>
  <c r="BL46" i="45" s="1"/>
  <c r="BK46" i="45" s="1"/>
  <c r="BJ46" i="45" s="1"/>
  <c r="BI46" i="45" s="1"/>
  <c r="BH46" i="45" s="1"/>
  <c r="BM31" i="45"/>
  <c r="BL31" i="45" s="1"/>
  <c r="BK31" i="45" s="1"/>
  <c r="BJ31" i="45" s="1"/>
  <c r="BI31" i="45" s="1"/>
  <c r="BH31" i="45" s="1"/>
  <c r="BM16" i="45"/>
  <c r="BL16" i="45" s="1"/>
  <c r="BK16" i="45" s="1"/>
  <c r="BJ16" i="45" s="1"/>
  <c r="BI16" i="45" s="1"/>
  <c r="BH16" i="45" s="1"/>
  <c r="BM5" i="45"/>
  <c r="BL5" i="45" s="1"/>
  <c r="BK5" i="45" s="1"/>
  <c r="BJ5" i="45" s="1"/>
  <c r="BI5" i="45" s="1"/>
  <c r="BH5" i="45" s="1"/>
  <c r="BM23" i="45"/>
  <c r="BL23" i="45" s="1"/>
  <c r="BK23" i="45" s="1"/>
  <c r="BJ23" i="45" s="1"/>
  <c r="BI23" i="45" s="1"/>
  <c r="BH23" i="45" s="1"/>
  <c r="BM26" i="45"/>
  <c r="BL26" i="45" s="1"/>
  <c r="BK26" i="45" s="1"/>
  <c r="BJ26" i="45" s="1"/>
  <c r="BI26" i="45" s="1"/>
  <c r="BH26" i="45" s="1"/>
  <c r="BM49" i="45"/>
  <c r="BL49" i="45" s="1"/>
  <c r="BK49" i="45" s="1"/>
  <c r="BJ49" i="45" s="1"/>
  <c r="BI49" i="45" s="1"/>
  <c r="BH49" i="45" s="1"/>
  <c r="BM51" i="45"/>
  <c r="BL51" i="45" s="1"/>
  <c r="BK51" i="45" s="1"/>
  <c r="BJ51" i="45" s="1"/>
  <c r="BI51" i="45" s="1"/>
  <c r="BH51" i="45" s="1"/>
  <c r="BM47" i="45"/>
  <c r="BL47" i="45" s="1"/>
  <c r="BK47" i="45" s="1"/>
  <c r="BJ47" i="45" s="1"/>
  <c r="BI47" i="45" s="1"/>
  <c r="BH47" i="45" s="1"/>
  <c r="BM22" i="45"/>
  <c r="BL22" i="45" s="1"/>
  <c r="BK22" i="45" s="1"/>
  <c r="BJ22" i="45" s="1"/>
  <c r="BI22" i="45" s="1"/>
  <c r="BH22" i="45" s="1"/>
  <c r="BM7" i="45"/>
  <c r="BL7" i="45" s="1"/>
  <c r="BK7" i="45" s="1"/>
  <c r="BJ7" i="45" s="1"/>
  <c r="BI7" i="45" s="1"/>
  <c r="BH7" i="45" s="1"/>
  <c r="BM15" i="45"/>
  <c r="BL15" i="45" s="1"/>
  <c r="BK15" i="45" s="1"/>
  <c r="BJ15" i="45" s="1"/>
  <c r="BI15" i="45" s="1"/>
  <c r="BH15" i="45" s="1"/>
  <c r="BM48" i="45"/>
  <c r="BL48" i="45" s="1"/>
  <c r="BK48" i="45" s="1"/>
  <c r="BJ48" i="45" s="1"/>
  <c r="BI48" i="45" s="1"/>
  <c r="BH48" i="45" s="1"/>
  <c r="BM41" i="45"/>
  <c r="BL41" i="45" s="1"/>
  <c r="BK41" i="45" s="1"/>
  <c r="BJ41" i="45" s="1"/>
  <c r="BI41" i="45" s="1"/>
  <c r="BH41" i="45" s="1"/>
  <c r="BM50" i="45"/>
  <c r="BL50" i="45" s="1"/>
  <c r="BK50" i="45" s="1"/>
  <c r="BJ50" i="45" s="1"/>
  <c r="BI50" i="45" s="1"/>
  <c r="BH50" i="45" s="1"/>
  <c r="BM28" i="45"/>
  <c r="BL28" i="45" s="1"/>
  <c r="BK28" i="45" s="1"/>
  <c r="BJ28" i="45" s="1"/>
  <c r="BI28" i="45" s="1"/>
  <c r="BH28" i="45" s="1"/>
  <c r="BM33" i="45"/>
  <c r="BL33" i="45" s="1"/>
  <c r="BK33" i="45" s="1"/>
  <c r="BJ33" i="45" s="1"/>
  <c r="BI33" i="45" s="1"/>
  <c r="BH33" i="45" s="1"/>
  <c r="BM34" i="45"/>
  <c r="BL34" i="45" s="1"/>
  <c r="BK34" i="45" s="1"/>
  <c r="BJ34" i="45" s="1"/>
  <c r="BI34" i="45" s="1"/>
  <c r="BH34" i="45" s="1"/>
  <c r="BM36" i="45"/>
  <c r="BL36" i="45" s="1"/>
  <c r="BK36" i="45" s="1"/>
  <c r="BJ36" i="45" s="1"/>
  <c r="BI36" i="45" s="1"/>
  <c r="BH36" i="45" s="1"/>
  <c r="BM25" i="45"/>
  <c r="BL25" i="45" s="1"/>
  <c r="BK25" i="45" s="1"/>
  <c r="BJ25" i="45" s="1"/>
  <c r="BI25" i="45" s="1"/>
  <c r="BH25" i="45" s="1"/>
  <c r="BM6" i="45"/>
  <c r="BL6" i="45" s="1"/>
  <c r="BK6" i="45" s="1"/>
  <c r="BJ6" i="45" s="1"/>
  <c r="BI6" i="45" s="1"/>
  <c r="BH6" i="45" s="1"/>
  <c r="BM38" i="45"/>
  <c r="BL38" i="45" s="1"/>
  <c r="BK38" i="45" s="1"/>
  <c r="BJ38" i="45" s="1"/>
  <c r="BI38" i="45" s="1"/>
  <c r="BH38" i="45" s="1"/>
  <c r="BM32" i="45"/>
  <c r="BL32" i="45" s="1"/>
  <c r="BK32" i="45" s="1"/>
  <c r="BJ32" i="45" s="1"/>
  <c r="BI32" i="45" s="1"/>
  <c r="BH32" i="45" s="1"/>
  <c r="BM39" i="45"/>
  <c r="BL39" i="45" s="1"/>
  <c r="BK39" i="45" s="1"/>
  <c r="BJ39" i="45" s="1"/>
  <c r="BI39" i="45" s="1"/>
  <c r="BH39" i="45" s="1"/>
  <c r="BM9" i="45"/>
  <c r="BL9" i="45" s="1"/>
  <c r="BK9" i="45" s="1"/>
  <c r="BJ9" i="45" s="1"/>
  <c r="BI9" i="45" s="1"/>
  <c r="BH9" i="45" s="1"/>
  <c r="BM30" i="45"/>
  <c r="BL30" i="45" s="1"/>
  <c r="BK30" i="45" s="1"/>
  <c r="BJ30" i="45" s="1"/>
  <c r="BI30" i="45" s="1"/>
  <c r="BH30" i="45" s="1"/>
  <c r="BM24" i="45"/>
  <c r="BL24" i="45" s="1"/>
  <c r="BK24" i="45" s="1"/>
  <c r="BJ24" i="45" s="1"/>
  <c r="BI24" i="45" s="1"/>
  <c r="BH24" i="45" s="1"/>
  <c r="AJ151" i="3"/>
  <c r="AJ155"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99">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futureMetadata>
  <cellMetadata count="1">
    <bk>
      <rc t="1" v="0"/>
    </bk>
  </cellMetadata>
  <valueMetadata count="99">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valueMetadata>
</metadata>
</file>

<file path=xl/sharedStrings.xml><?xml version="1.0" encoding="utf-8"?>
<sst xmlns="http://schemas.openxmlformats.org/spreadsheetml/2006/main" count="6764" uniqueCount="1522">
  <si>
    <t>English</t>
  </si>
  <si>
    <t>Netherlands</t>
  </si>
  <si>
    <t>Fixture</t>
  </si>
  <si>
    <t>Bart Olde Keizer</t>
  </si>
  <si>
    <t>Help</t>
  </si>
  <si>
    <t>Video►Tutorial</t>
  </si>
  <si>
    <t xml:space="preserve"> </t>
  </si>
  <si>
    <t>Share:</t>
  </si>
  <si>
    <t>Whatsapp</t>
  </si>
  <si>
    <t>Telegram</t>
  </si>
  <si>
    <t>Mail</t>
  </si>
  <si>
    <t>X</t>
  </si>
  <si>
    <t>in</t>
  </si>
  <si>
    <t>© Miguel Angel Tejero. 2026</t>
  </si>
  <si>
    <t>Horarios!$P$3</t>
  </si>
  <si>
    <t>WINNER</t>
  </si>
  <si>
    <t>Empate1L</t>
  </si>
  <si>
    <t>Empate1V</t>
  </si>
  <si>
    <t>Empate2L</t>
  </si>
  <si>
    <t>Empate2V</t>
  </si>
  <si>
    <t>Empate3L</t>
  </si>
  <si>
    <t>Empate3V</t>
  </si>
  <si>
    <t>Empate4L</t>
  </si>
  <si>
    <t>Empate4V</t>
  </si>
  <si>
    <t>Empate5L</t>
  </si>
  <si>
    <t>Empate5V</t>
  </si>
  <si>
    <t>Empate6L</t>
  </si>
  <si>
    <t>Empate6V</t>
  </si>
  <si>
    <t>No</t>
  </si>
  <si>
    <t>NombreEquipo</t>
  </si>
  <si>
    <t>A</t>
  </si>
  <si>
    <t>Grupos: bombo; terceros: orden alfa</t>
  </si>
  <si>
    <t>PosF1</t>
  </si>
  <si>
    <t>PosF3</t>
  </si>
  <si>
    <t>Participa</t>
  </si>
  <si>
    <t>Pos0</t>
  </si>
  <si>
    <t>Empate0</t>
  </si>
  <si>
    <t>PTS</t>
  </si>
  <si>
    <t>Posicion1</t>
  </si>
  <si>
    <t>Empate1</t>
  </si>
  <si>
    <t>PGPart1</t>
  </si>
  <si>
    <t>PEPart1</t>
  </si>
  <si>
    <t>PPPart1</t>
  </si>
  <si>
    <t>PTSPart1</t>
  </si>
  <si>
    <t>Posicion2</t>
  </si>
  <si>
    <t>Empate2</t>
  </si>
  <si>
    <t>GFPart1</t>
  </si>
  <si>
    <t>GCPart1</t>
  </si>
  <si>
    <t>DGPArt1</t>
  </si>
  <si>
    <t>Posicion3</t>
  </si>
  <si>
    <t>Empate3</t>
  </si>
  <si>
    <t>Posicion4</t>
  </si>
  <si>
    <t>Empate4</t>
  </si>
  <si>
    <t>PGPart2</t>
  </si>
  <si>
    <t>PEPart2</t>
  </si>
  <si>
    <t>PPPart2</t>
  </si>
  <si>
    <t>PTSPart2</t>
  </si>
  <si>
    <t>Posicion5</t>
  </si>
  <si>
    <t>Empate5</t>
  </si>
  <si>
    <t>GFPart2</t>
  </si>
  <si>
    <t>GCPart2</t>
  </si>
  <si>
    <t>DGPArt2</t>
  </si>
  <si>
    <t>Posicion6</t>
  </si>
  <si>
    <t>Empate6</t>
  </si>
  <si>
    <t>Posicion7</t>
  </si>
  <si>
    <t>Empate7</t>
  </si>
  <si>
    <t>DG</t>
  </si>
  <si>
    <t>Posicion8</t>
  </si>
  <si>
    <t>Empate8</t>
  </si>
  <si>
    <t>GF</t>
  </si>
  <si>
    <t>Posicion9</t>
  </si>
  <si>
    <t>Empate9</t>
  </si>
  <si>
    <t>OrdenAlfa/Bombo</t>
  </si>
  <si>
    <t>PosicionF1</t>
  </si>
  <si>
    <t>PosicionF2</t>
  </si>
  <si>
    <t>Criterio/Fila</t>
  </si>
  <si>
    <t>PosicionF3</t>
  </si>
  <si>
    <t>POS</t>
  </si>
  <si>
    <t>Numero Partidos disputados grupo</t>
  </si>
  <si>
    <t>CANT</t>
  </si>
  <si>
    <t>CONCAT</t>
  </si>
  <si>
    <t>DESEMPATE EN SELECTOR</t>
  </si>
  <si>
    <t>POSGRUPO</t>
  </si>
  <si>
    <t>PAIS</t>
  </si>
  <si>
    <t>1A</t>
  </si>
  <si>
    <t>2A</t>
  </si>
  <si>
    <t>3A</t>
  </si>
  <si>
    <t>4A</t>
  </si>
  <si>
    <t>1B</t>
  </si>
  <si>
    <t>2B</t>
  </si>
  <si>
    <t>B</t>
  </si>
  <si>
    <t>3B</t>
  </si>
  <si>
    <t>4B</t>
  </si>
  <si>
    <t>1C</t>
  </si>
  <si>
    <t>2C</t>
  </si>
  <si>
    <t>3C</t>
  </si>
  <si>
    <t>4C</t>
  </si>
  <si>
    <t>1D</t>
  </si>
  <si>
    <t>2D</t>
  </si>
  <si>
    <t>C</t>
  </si>
  <si>
    <t>3D</t>
  </si>
  <si>
    <t>4D</t>
  </si>
  <si>
    <t>1E</t>
  </si>
  <si>
    <t>2E</t>
  </si>
  <si>
    <t>3E</t>
  </si>
  <si>
    <t>4E</t>
  </si>
  <si>
    <t>1F</t>
  </si>
  <si>
    <t>2F</t>
  </si>
  <si>
    <t>D</t>
  </si>
  <si>
    <t>3F</t>
  </si>
  <si>
    <t>4F</t>
  </si>
  <si>
    <t>1G</t>
  </si>
  <si>
    <t>2G</t>
  </si>
  <si>
    <t>3G</t>
  </si>
  <si>
    <t>4G</t>
  </si>
  <si>
    <t>1H</t>
  </si>
  <si>
    <t>2H</t>
  </si>
  <si>
    <t>E</t>
  </si>
  <si>
    <t>3H</t>
  </si>
  <si>
    <t>4H</t>
  </si>
  <si>
    <t>1I</t>
  </si>
  <si>
    <t>2I</t>
  </si>
  <si>
    <t>3I</t>
  </si>
  <si>
    <t>4I</t>
  </si>
  <si>
    <t>1J</t>
  </si>
  <si>
    <t>2J</t>
  </si>
  <si>
    <t>F</t>
  </si>
  <si>
    <t>3J</t>
  </si>
  <si>
    <t>4J</t>
  </si>
  <si>
    <t>1K</t>
  </si>
  <si>
    <t>2K</t>
  </si>
  <si>
    <t>3K</t>
  </si>
  <si>
    <t>4K</t>
  </si>
  <si>
    <t>1L</t>
  </si>
  <si>
    <t>2L</t>
  </si>
  <si>
    <t>G</t>
  </si>
  <si>
    <t>3L</t>
  </si>
  <si>
    <t>4L</t>
  </si>
  <si>
    <t>1; normal 2; sin ultimo clas, 3, media total</t>
  </si>
  <si>
    <t>OrdenAlfa</t>
  </si>
  <si>
    <t>H</t>
  </si>
  <si>
    <t>I</t>
  </si>
  <si>
    <t>J</t>
  </si>
  <si>
    <t>K</t>
  </si>
  <si>
    <t>L</t>
  </si>
  <si>
    <t>EN 16 y en el 3ºy4º puesto son diferentes</t>
  </si>
  <si>
    <t>NO BORRAR ESTO EN 16S</t>
  </si>
  <si>
    <t>PARTIDO</t>
  </si>
  <si>
    <t>FECHA</t>
  </si>
  <si>
    <t>LOCAL</t>
  </si>
  <si>
    <t>VISITANTE</t>
  </si>
  <si>
    <t>#</t>
  </si>
  <si>
    <t>2A-2B</t>
  </si>
  <si>
    <t>1/16</t>
  </si>
  <si>
    <t>3ABCDF</t>
  </si>
  <si>
    <t>TOTAL</t>
  </si>
  <si>
    <t>1E-3ABCDF</t>
  </si>
  <si>
    <t>Los 8 mejores terceros son…</t>
  </si>
  <si>
    <t>GRUPO</t>
  </si>
  <si>
    <t>ORDEN</t>
  </si>
  <si>
    <t>Por orden alfabetico</t>
  </si>
  <si>
    <t>1F-2C</t>
  </si>
  <si>
    <t>1C-2F</t>
  </si>
  <si>
    <t>3CDFGH</t>
  </si>
  <si>
    <t>1I-3CDFGH</t>
  </si>
  <si>
    <t>2E-2I</t>
  </si>
  <si>
    <t>3CEFHI</t>
  </si>
  <si>
    <t>1A-3CEFHI</t>
  </si>
  <si>
    <t>3EHIJK</t>
  </si>
  <si>
    <t>1L-3EHIJK</t>
  </si>
  <si>
    <t>3BEFIJ</t>
  </si>
  <si>
    <t>1D-3BEFIJ</t>
  </si>
  <si>
    <t>3AEHIJ</t>
  </si>
  <si>
    <t>1G-3AEHIJ</t>
  </si>
  <si>
    <t>2K-2L</t>
  </si>
  <si>
    <t>Corresponde a los grupos…</t>
  </si>
  <si>
    <t>1H-2J</t>
  </si>
  <si>
    <t>3EFGIJ</t>
  </si>
  <si>
    <t>1B-3EFGIJ</t>
  </si>
  <si>
    <t>1J-2H</t>
  </si>
  <si>
    <t>3DEIJL</t>
  </si>
  <si>
    <t>1K-3DEIJL</t>
  </si>
  <si>
    <t>2D-2G</t>
  </si>
  <si>
    <t>W74</t>
  </si>
  <si>
    <t>W77</t>
  </si>
  <si>
    <t>W74-W77</t>
  </si>
  <si>
    <t>1/8</t>
  </si>
  <si>
    <t>W73</t>
  </si>
  <si>
    <t>W75</t>
  </si>
  <si>
    <t>W73-W75</t>
  </si>
  <si>
    <t>W76</t>
  </si>
  <si>
    <t>W78</t>
  </si>
  <si>
    <t>W76-W78</t>
  </si>
  <si>
    <t>W79</t>
  </si>
  <si>
    <t>W80</t>
  </si>
  <si>
    <t>W79-W80</t>
  </si>
  <si>
    <t>W83</t>
  </si>
  <si>
    <t>W84</t>
  </si>
  <si>
    <t>W83-W84</t>
  </si>
  <si>
    <t>W81</t>
  </si>
  <si>
    <t>W82</t>
  </si>
  <si>
    <t>W81-W82</t>
  </si>
  <si>
    <t>W86</t>
  </si>
  <si>
    <t>W88</t>
  </si>
  <si>
    <t>W86-W88</t>
  </si>
  <si>
    <t>W85</t>
  </si>
  <si>
    <t>W87</t>
  </si>
  <si>
    <t>W85-W87</t>
  </si>
  <si>
    <t>W89</t>
  </si>
  <si>
    <t>W90</t>
  </si>
  <si>
    <t>W89-W90</t>
  </si>
  <si>
    <t>1/4</t>
  </si>
  <si>
    <t>W93</t>
  </si>
  <si>
    <t>W94</t>
  </si>
  <si>
    <t>W93-W94</t>
  </si>
  <si>
    <t>W91</t>
  </si>
  <si>
    <t>W92</t>
  </si>
  <si>
    <t>W91-W92</t>
  </si>
  <si>
    <t>W95</t>
  </si>
  <si>
    <t>W96</t>
  </si>
  <si>
    <t>W95-W96</t>
  </si>
  <si>
    <t>EL 34 y la FINAL van diferentes como cogen los equipos, van directos, sin formulas previas</t>
  </si>
  <si>
    <t>LOOSERS</t>
  </si>
  <si>
    <t>Gol</t>
  </si>
  <si>
    <t>W97</t>
  </si>
  <si>
    <t>W98</t>
  </si>
  <si>
    <t>W97-W98</t>
  </si>
  <si>
    <t>1/2</t>
  </si>
  <si>
    <t>W99</t>
  </si>
  <si>
    <t>W100</t>
  </si>
  <si>
    <t>W99-W100</t>
  </si>
  <si>
    <t>L101</t>
  </si>
  <si>
    <t>L102</t>
  </si>
  <si>
    <t>L101-L102</t>
  </si>
  <si>
    <t>3-4</t>
  </si>
  <si>
    <t>W101</t>
  </si>
  <si>
    <t>W102</t>
  </si>
  <si>
    <t>W101-W102</t>
  </si>
  <si>
    <t>Harry Kane</t>
  </si>
  <si>
    <t>Erling Haaland</t>
  </si>
  <si>
    <t>Kylian Mbappe</t>
  </si>
  <si>
    <t>Lamine Yamal</t>
  </si>
  <si>
    <t>Michael Olise</t>
  </si>
  <si>
    <t>A1</t>
  </si>
  <si>
    <t>B1</t>
  </si>
  <si>
    <t>C1</t>
  </si>
  <si>
    <t>D1</t>
  </si>
  <si>
    <t>E1</t>
  </si>
  <si>
    <t>F1</t>
  </si>
  <si>
    <t>G1</t>
  </si>
  <si>
    <t>H1</t>
  </si>
  <si>
    <t>I1</t>
  </si>
  <si>
    <t>J1</t>
  </si>
  <si>
    <t>K1</t>
  </si>
  <si>
    <t>L1</t>
  </si>
  <si>
    <t>A2</t>
  </si>
  <si>
    <t>B2</t>
  </si>
  <si>
    <t>C2</t>
  </si>
  <si>
    <t>D2</t>
  </si>
  <si>
    <t>E2</t>
  </si>
  <si>
    <t>F2</t>
  </si>
  <si>
    <t>G2</t>
  </si>
  <si>
    <t>H2</t>
  </si>
  <si>
    <t>I2</t>
  </si>
  <si>
    <t>J2</t>
  </si>
  <si>
    <t>K2</t>
  </si>
  <si>
    <t>L2</t>
  </si>
  <si>
    <t>A3</t>
  </si>
  <si>
    <t>B3</t>
  </si>
  <si>
    <t>C3</t>
  </si>
  <si>
    <t>D3</t>
  </si>
  <si>
    <t>E3</t>
  </si>
  <si>
    <t>F3</t>
  </si>
  <si>
    <t>G3</t>
  </si>
  <si>
    <t>H3</t>
  </si>
  <si>
    <t>I3</t>
  </si>
  <si>
    <t>J3</t>
  </si>
  <si>
    <t>K3</t>
  </si>
  <si>
    <t>L3</t>
  </si>
  <si>
    <t>3-4
&amp;
F</t>
  </si>
  <si>
    <t>Pts</t>
  </si>
  <si>
    <t>3º</t>
  </si>
  <si>
    <t>2º</t>
  </si>
  <si>
    <t>1º</t>
  </si>
  <si>
    <t>Español</t>
  </si>
  <si>
    <t>HOJA</t>
  </si>
  <si>
    <t>Celda</t>
  </si>
  <si>
    <t>Inglés</t>
  </si>
  <si>
    <t>Inicio</t>
  </si>
  <si>
    <t>G4</t>
  </si>
  <si>
    <t>Introducir resultados</t>
  </si>
  <si>
    <t>Introduce Results</t>
  </si>
  <si>
    <t>L5</t>
  </si>
  <si>
    <t>Si quieres organizar una porra (quiniela) con tu grupo puedes descargar el archivo de adminsitrador desde el enlace de abajo</t>
  </si>
  <si>
    <t>If you want to organize a pool (betting game) with your group, you can download the administrator file from the link below.</t>
  </si>
  <si>
    <t>Si quieres organizar una porra con tu grupo puedes descargar el archivo para administrarla desde aquí.</t>
  </si>
  <si>
    <t>If you want to organize a pool (betting game) with your group, you can download the file to manage it from here.</t>
  </si>
  <si>
    <t>Predictor Equipos</t>
  </si>
  <si>
    <t>Team Predictor</t>
  </si>
  <si>
    <t>F12</t>
  </si>
  <si>
    <t>Selecciona idioma</t>
  </si>
  <si>
    <t>Select languaje</t>
  </si>
  <si>
    <t>B7</t>
  </si>
  <si>
    <t>XXIII Mundial USA/MEX/CAN 2026</t>
  </si>
  <si>
    <t>XXIII World Cup USA/MEX/CAN 2026</t>
  </si>
  <si>
    <t>L11</t>
  </si>
  <si>
    <t>▼ Descargar Excel Administrador Porra ▼</t>
  </si>
  <si>
    <t>▼ Download Administrator Excel File ▼</t>
  </si>
  <si>
    <t>L12</t>
  </si>
  <si>
    <t>https://matejero.es/download/administrador-excel-mundial-2026/</t>
  </si>
  <si>
    <t>https://matejero.com/download/admin-world-cup-2026/</t>
  </si>
  <si>
    <t>*Versión provisional hasta que se conozcan todos los participantes en marzo 2026</t>
  </si>
  <si>
    <t>*Beta version until all participants are known in March 2026</t>
  </si>
  <si>
    <t>Donar</t>
  </si>
  <si>
    <t>Donate</t>
  </si>
  <si>
    <t>WORLDCUP</t>
  </si>
  <si>
    <t>Selecciona horario</t>
  </si>
  <si>
    <t>Select timetable</t>
  </si>
  <si>
    <t>Rellenar los cuadros grises</t>
  </si>
  <si>
    <t>Fill in the gray cells</t>
  </si>
  <si>
    <t>Fecha</t>
  </si>
  <si>
    <t>Date</t>
  </si>
  <si>
    <t>Hora</t>
  </si>
  <si>
    <t>Hour</t>
  </si>
  <si>
    <t>Jor.</t>
  </si>
  <si>
    <t>R</t>
  </si>
  <si>
    <t>Casa</t>
  </si>
  <si>
    <t>Home</t>
  </si>
  <si>
    <t>Goal</t>
  </si>
  <si>
    <t>N3</t>
  </si>
  <si>
    <t>Fuera</t>
  </si>
  <si>
    <t>Away</t>
  </si>
  <si>
    <t>Q3</t>
  </si>
  <si>
    <t>Grupo</t>
  </si>
  <si>
    <t>Group</t>
  </si>
  <si>
    <t>AB3</t>
  </si>
  <si>
    <t>¡EMPATE! Puedes seleccionar el orden de los empatados.</t>
  </si>
  <si>
    <t>IT'S A DRAW! Choose the order of the Nations to determine their rankings.</t>
  </si>
  <si>
    <t>P52</t>
  </si>
  <si>
    <t>¡EMPATE! Puedes seleccionar el orden de los empatados entre los terceros.</t>
  </si>
  <si>
    <t>E53</t>
  </si>
  <si>
    <t>Mejores terceros</t>
  </si>
  <si>
    <t>Best third-placed</t>
  </si>
  <si>
    <t>Dieciseisavos de final</t>
  </si>
  <si>
    <t>Round of 32</t>
  </si>
  <si>
    <t>E63</t>
  </si>
  <si>
    <t>Octavos de final</t>
  </si>
  <si>
    <t>Round of 16</t>
  </si>
  <si>
    <t>E74</t>
  </si>
  <si>
    <t>Cuartos de final</t>
  </si>
  <si>
    <t>Quarterfinals</t>
  </si>
  <si>
    <t>E80</t>
  </si>
  <si>
    <t>Semifinales</t>
  </si>
  <si>
    <t>Semifinals</t>
  </si>
  <si>
    <t>3º y 4º puesto</t>
  </si>
  <si>
    <t>3rd-4th place</t>
  </si>
  <si>
    <t>E84</t>
  </si>
  <si>
    <t>Final</t>
  </si>
  <si>
    <t>I88</t>
  </si>
  <si>
    <t>Cuadro de honor</t>
  </si>
  <si>
    <t>Honor box</t>
  </si>
  <si>
    <t>E89</t>
  </si>
  <si>
    <t>Campeón</t>
  </si>
  <si>
    <t>Winner</t>
  </si>
  <si>
    <t>E90</t>
  </si>
  <si>
    <t>Subcampeón</t>
  </si>
  <si>
    <t>Runner-up</t>
  </si>
  <si>
    <t>3º puesto</t>
  </si>
  <si>
    <t>3rd place</t>
  </si>
  <si>
    <t>E93</t>
  </si>
  <si>
    <t>Bota de Oro  (máximo goleador)</t>
  </si>
  <si>
    <t>Golden Boot  (Top Scorer)</t>
  </si>
  <si>
    <t>E94</t>
  </si>
  <si>
    <t>Bota de Plata (2º máximo goleador)</t>
  </si>
  <si>
    <t>Silver Boot  (2nd Top Scorer)</t>
  </si>
  <si>
    <t>Bota de Bronce (3º máximo goleador)</t>
  </si>
  <si>
    <t>Bronze Boot (3rd Top Scorer)</t>
  </si>
  <si>
    <t>Balón de Oro  (mejor jugador)</t>
  </si>
  <si>
    <t>Golden Ball (Best Player)</t>
  </si>
  <si>
    <t>Balón de Plata (2º mejor jugador)</t>
  </si>
  <si>
    <t>Silver Ball (2nd Best Player)</t>
  </si>
  <si>
    <t>Balón de Bronce (3º mejor jugador)</t>
  </si>
  <si>
    <t>Bronze  (3rd Best Player))</t>
  </si>
  <si>
    <t>I93</t>
  </si>
  <si>
    <t>Escribe un jugador</t>
  </si>
  <si>
    <t>Write a player</t>
  </si>
  <si>
    <t>I94</t>
  </si>
  <si>
    <t>E97</t>
  </si>
  <si>
    <t>Nombre</t>
  </si>
  <si>
    <t>Name</t>
  </si>
  <si>
    <t>I97</t>
  </si>
  <si>
    <t>Escribe tu nombre</t>
  </si>
  <si>
    <t>Write your name</t>
  </si>
  <si>
    <t>R86</t>
  </si>
  <si>
    <t>PORRA INCOMPLETA:</t>
  </si>
  <si>
    <t>INCOMPLETE POOL:</t>
  </si>
  <si>
    <t>S86</t>
  </si>
  <si>
    <t>Aún falta alguna apuesta</t>
  </si>
  <si>
    <t>You may have left over some match-ups without prediction or you may have not written your name</t>
  </si>
  <si>
    <t>R87</t>
  </si>
  <si>
    <t>PORRA COMPLETA:</t>
  </si>
  <si>
    <t>POOL COMPLETED</t>
  </si>
  <si>
    <t>S87</t>
  </si>
  <si>
    <t>Guarda el archivo y envialo al administrador de tu porra</t>
  </si>
  <si>
    <t>Save the file and send it over by email.</t>
  </si>
  <si>
    <t>Q5</t>
  </si>
  <si>
    <t>Pos</t>
  </si>
  <si>
    <t>R5</t>
  </si>
  <si>
    <t>Selección</t>
  </si>
  <si>
    <t>Nation</t>
  </si>
  <si>
    <t>S5</t>
  </si>
  <si>
    <t>T5</t>
  </si>
  <si>
    <t>P</t>
  </si>
  <si>
    <t>U5</t>
  </si>
  <si>
    <t>W</t>
  </si>
  <si>
    <t>V5</t>
  </si>
  <si>
    <t>W5</t>
  </si>
  <si>
    <t>X5</t>
  </si>
  <si>
    <t>Y5</t>
  </si>
  <si>
    <t>GC</t>
  </si>
  <si>
    <t>Z5</t>
  </si>
  <si>
    <t>GD</t>
  </si>
  <si>
    <t>R1</t>
  </si>
  <si>
    <t>R2</t>
  </si>
  <si>
    <t>R3</t>
  </si>
  <si>
    <t>Z6</t>
  </si>
  <si>
    <t>Instrucciones en video</t>
  </si>
  <si>
    <t>Show the best third-placed teams before the group stage ends?</t>
  </si>
  <si>
    <t>Sí</t>
  </si>
  <si>
    <t>Yes</t>
  </si>
  <si>
    <t>Puntos penalizados</t>
  </si>
  <si>
    <t>Deducted Points</t>
  </si>
  <si>
    <t xml:space="preserve">Grupos mejores 3ºs: </t>
  </si>
  <si>
    <t xml:space="preserve">Best 3-placed groups: </t>
  </si>
  <si>
    <t>La clasificación de los mejores terceros aparece al final de la J1</t>
  </si>
  <si>
    <t>The ranking of the best third places appears at the end of J1</t>
  </si>
  <si>
    <t>¿Hay equipos penalizados?</t>
  </si>
  <si>
    <t>Are there penalized teams?</t>
  </si>
  <si>
    <t>Normal</t>
  </si>
  <si>
    <t>No cuenta el partido contra el último</t>
  </si>
  <si>
    <t>Matches against the bottom team are excluded.</t>
  </si>
  <si>
    <t>Media por partido</t>
  </si>
  <si>
    <t>Average per match</t>
  </si>
  <si>
    <t>Selecciona criterio:</t>
  </si>
  <si>
    <t>Select criteria:</t>
  </si>
  <si>
    <t>Creditos</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</si>
  <si>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</si>
  <si>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</si>
  <si>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B14</t>
  </si>
  <si>
    <t>Autor:</t>
  </si>
  <si>
    <t>Author:</t>
  </si>
  <si>
    <t>B15</t>
  </si>
  <si>
    <t>Útima versión</t>
  </si>
  <si>
    <t>Last version:</t>
  </si>
  <si>
    <t>Limitación de responsabilidad:</t>
  </si>
  <si>
    <t>Disclaimer:</t>
  </si>
  <si>
    <t>PARA DESCARGAR, CLICK EN</t>
  </si>
  <si>
    <t>TO DOWNLOAD, CLICK ON</t>
  </si>
  <si>
    <t>· Selecciona el idioma y la zona horaria</t>
  </si>
  <si>
    <t>· Select the language and time zone</t>
  </si>
  <si>
    <t>· Si vas a participar en una porra escribe tu nombre</t>
  </si>
  <si>
    <t>· If you are going to participate in a pool/sweepstake, write your name</t>
  </si>
  <si>
    <t>· Si vas a organizar una porra, puedes descargar el archivo excel de administración desde aquí</t>
  </si>
  <si>
    <t>· If you are going to organize a pool, you can download the administration excel file from here</t>
  </si>
  <si>
    <t>· Rellena los cuadros grises con los resultados de la fase de grupos para cada grupo</t>
  </si>
  <si>
    <t>· Fill in the grey boxes with the group stage results for each group</t>
  </si>
  <si>
    <t>· En caso de empate en la posición de un grupo o en los mejores terceros, puedes seleccionar el orden de los empatados</t>
  </si>
  <si>
    <t>· In case of a tie in the position of a group or in the best third-placed teams, you can select the order of the drawed nations</t>
  </si>
  <si>
    <t>· Las eliminatorias se establecen de forma automática</t>
  </si>
  <si>
    <t>· Playoffs are set automatically</t>
  </si>
  <si>
    <t>· Rellena los resultados de las fases eliminatorias. En caso de empate, se abren dos celdas a los lados para poner el resultado de los penaltis</t>
  </si>
  <si>
    <t>· Fill in the results of the knockout stages. In the event of a tie, two cells are opened on the sides to introduce the result of the penalties</t>
  </si>
  <si>
    <t>· Si vas a participar en una porra, rellenar los mejores jugadores y los máximos goleadores</t>
  </si>
  <si>
    <t>· If you're going to participate in a pool/sweepstake, fill in the best players and top scorers</t>
  </si>
  <si>
    <t>· Esta hoja es independiente a los resultados introducidos en la hoja WORLDCUP y su uso es opcional</t>
  </si>
  <si>
    <t>· This sheet is independent of the results entered in the WORLDCUP sheet and its use is optional</t>
  </si>
  <si>
    <t>· Las instrucciones de uso de esta hoja se encuentran en la misma hoja</t>
  </si>
  <si>
    <t>· The instructions for use of this sheet are on the same sheet</t>
  </si>
  <si>
    <t>· En esta hoja no hay que escribir nada</t>
  </si>
  <si>
    <t>· On this sheet you don't have to write anything</t>
  </si>
  <si>
    <t>· Sirve para que el organizador de la porra, copie estos resultados y los pegue en el archivo de administrador</t>
  </si>
  <si>
    <t>· It is used for the organizer of the sweepstakes to copy these results and paste them into the administrator file</t>
  </si>
  <si>
    <t>· En esta hoja se muestran de un vistazo todos los resultados introducidos en la hoja WORLDCUP, en esta hoja no se rellena nada.</t>
  </si>
  <si>
    <t>· This sheet shows a view of all the results entered in the WORLDCUP sheet, nothing is filled in on this sheet.</t>
  </si>
  <si>
    <t>Pool</t>
  </si>
  <si>
    <t>Para el administrador de la porra</t>
  </si>
  <si>
    <t>For the administrator of the pool</t>
  </si>
  <si>
    <t>PARTICIPANTE</t>
  </si>
  <si>
    <t>PLAYER</t>
  </si>
  <si>
    <t>C4</t>
  </si>
  <si>
    <t>¡No tocar nada, se rellena solo!</t>
  </si>
  <si>
    <t>PLAYER: DO NOT TOUCH, IT'S AUTOMATIC!</t>
  </si>
  <si>
    <t>EL ADMINISTRADOR DE LA PORRA SEGUIRÁ LAS INSTRUCCIONES DE AQUÍ ABAJO</t>
  </si>
  <si>
    <t xml:space="preserve">THE POOL ADMINISTRATOR SHOULD FOLLOW THE INSTRUCTIONS BELOW				</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</si>
  <si>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</si>
  <si>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 xml:space="preserve">·If you play the whole tournament at once de golpe select from C5 to C258 and paste in the Administrator template.			</t>
  </si>
  <si>
    <t>E4</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</si>
  <si>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</si>
  <si>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</si>
  <si>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E5</t>
  </si>
  <si>
    <t>·Si haceis jornada a jornada seguir las instrucciones de cada jornada</t>
  </si>
  <si>
    <t>·If you play by Rounds, follow de instuctions of every round.</t>
  </si>
  <si>
    <t>E6</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</si>
  <si>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</si>
  <si>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</si>
  <si>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E18</t>
  </si>
  <si>
    <t>·Para la segunda jornada copiar de la C30 a la C53 y pega valores en la plantilla de administrador.</t>
  </si>
  <si>
    <t>·For the 2nd Round copy from C30 to C53 an paste as values in the Administrator Pool.</t>
  </si>
  <si>
    <t>E30</t>
  </si>
  <si>
    <t>·Para la tercera jornada copiar de la C54 a la C161 y pega valores en la plantilla de administrador.</t>
  </si>
  <si>
    <t>·For the 3rd Round copy from C54 to C161 an paste as values in the Administrator Pool.</t>
  </si>
  <si>
    <t>E86</t>
  </si>
  <si>
    <t>·Si haceis todas las eliminatorias de golpe, copiar de la C164 a la C252 y pegar valores en la plantilla de Administrador.</t>
  </si>
  <si>
    <t>·If you play the KO rounds at once copy from C164 to C252 and paste in the Administrator template.</t>
  </si>
  <si>
    <t>E87</t>
  </si>
  <si>
    <t>·Si haceis eliminatoria a eliminatoria seguir las instrucciones de cada eliminatoria.</t>
  </si>
  <si>
    <t>·If you play de KO phase, round by round, follow the instructions of every KO round.</t>
  </si>
  <si>
    <t>E88</t>
  </si>
  <si>
    <t>·Para los dieciseisavos copiar de la C164 a la C197 y pega valores en la plantilla de administrador.</t>
  </si>
  <si>
    <t>·For de round of 32 matches, copy from C164 to C197 and paste in the administrator template in "Paste Values Round of 32"</t>
  </si>
  <si>
    <t>E108</t>
  </si>
  <si>
    <t>·Para los octavos de final copiar de la C200 a la C217 y pega valores en la plantilla de administrador.</t>
  </si>
  <si>
    <t>·For the round of 16 matches, copy from C200 to C217 and paste in the administrator template in "Paste Values Round of 16"</t>
  </si>
  <si>
    <t>·Para los cuartos de final copiar de la C220 a la C229 y pega valores en la plantilla de administrador.</t>
  </si>
  <si>
    <t>·For the round of Quarterfinals matches, copy from C220 to C229 and paste in the administrator template in "Paste Values Quarterfinals"</t>
  </si>
  <si>
    <t>E120</t>
  </si>
  <si>
    <t>·Para las semifinales copiar de la C232 a la C241 y pega valores en la plantilla de administrador.</t>
  </si>
  <si>
    <t>·For the round of Semi-Finals matches, copy from C232 to C241 and paste in the administrator template in "Paste Values Semifinals"</t>
  </si>
  <si>
    <t>E128</t>
  </si>
  <si>
    <t>·Para el 3º y 4º puesto y la Final copiar de la C244 a la C252 y pega valores en la plantilla de administrador.</t>
  </si>
  <si>
    <t>·For the Final and 3-4 place matches, copy from C244 to C252 and paste in the administrator template in "Paste Values Final"</t>
  </si>
  <si>
    <t>E133</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</si>
  <si>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</si>
  <si>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</si>
  <si>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</si>
  <si>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</si>
  <si>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D6</t>
  </si>
  <si>
    <t>D18</t>
  </si>
  <si>
    <t>D30</t>
  </si>
  <si>
    <t>B5</t>
  </si>
  <si>
    <t>FASE DE GRUPOS</t>
  </si>
  <si>
    <t>GROUP STAGE</t>
  </si>
  <si>
    <t>B43</t>
  </si>
  <si>
    <t>POSICIÓN GRUPOS</t>
  </si>
  <si>
    <t>GROUP POSITION</t>
  </si>
  <si>
    <t>B69</t>
  </si>
  <si>
    <t>CLASIFICADOS PARA DIECISEISAVOS</t>
  </si>
  <si>
    <t>QUALIFIED FOR ROUND OF 32</t>
  </si>
  <si>
    <t>B87</t>
  </si>
  <si>
    <t>ENFRENTAMIENTOS DIECISEISAVOS</t>
  </si>
  <si>
    <t>ROUND OF 32</t>
  </si>
  <si>
    <t>CLASIFICADOS PARA OCTAVOS</t>
  </si>
  <si>
    <t>QUALIFIED FOR ROUND OF 16</t>
  </si>
  <si>
    <t>ENFRENTAMIENTOS OCTAVOS</t>
  </si>
  <si>
    <t>ROUND OF 16</t>
  </si>
  <si>
    <t>B97</t>
  </si>
  <si>
    <t>CLASIFICADOS PARA CUARTOS</t>
  </si>
  <si>
    <t>QUARTER-FINALISTS</t>
  </si>
  <si>
    <t>B107</t>
  </si>
  <si>
    <t>ENFRENTAMIENTOS CUARTOS</t>
  </si>
  <si>
    <t>QUARTERFINALS</t>
  </si>
  <si>
    <t>B113</t>
  </si>
  <si>
    <t>CLASIFICADOS PARA SEMIFINALES</t>
  </si>
  <si>
    <t>QUALIFIED FOR SEMIFINALS</t>
  </si>
  <si>
    <t>B119</t>
  </si>
  <si>
    <t>ENFRENTAMIENTOS SEMIFINALES</t>
  </si>
  <si>
    <t>SEMIFINALS</t>
  </si>
  <si>
    <t>CLASIFICADOS PARA EL 3º y 4º PUESTO</t>
  </si>
  <si>
    <t>QUALIFIED FOR 3rd-4th PLACE</t>
  </si>
  <si>
    <t>B123</t>
  </si>
  <si>
    <t>CLASIFICADOS PARA LA FINAL</t>
  </si>
  <si>
    <t>QUALIFIED FOR THE FINAL</t>
  </si>
  <si>
    <t>3º-4º puesto</t>
  </si>
  <si>
    <t>B127</t>
  </si>
  <si>
    <t>ENFRENTAMIENTO FINAL</t>
  </si>
  <si>
    <t>FINAL</t>
  </si>
  <si>
    <t>B130</t>
  </si>
  <si>
    <t>CUADRO DE HONOR</t>
  </si>
  <si>
    <t>HONOR BOX</t>
  </si>
  <si>
    <t>B44</t>
  </si>
  <si>
    <t>1º GRUPO A</t>
  </si>
  <si>
    <t>1st GROUP A</t>
  </si>
  <si>
    <t>B45</t>
  </si>
  <si>
    <t>2º GRUPO A</t>
  </si>
  <si>
    <t>2nd GROUP A</t>
  </si>
  <si>
    <t>B46</t>
  </si>
  <si>
    <t>3º GRUPO A</t>
  </si>
  <si>
    <t>3rd GROUP A</t>
  </si>
  <si>
    <t>B47</t>
  </si>
  <si>
    <t>4º GRUPO A</t>
  </si>
  <si>
    <t>4th GROUP A</t>
  </si>
  <si>
    <t>B48</t>
  </si>
  <si>
    <t>1º GRUPO B</t>
  </si>
  <si>
    <t>1st GROUP B</t>
  </si>
  <si>
    <t>B49</t>
  </si>
  <si>
    <t>2º GRUPO B</t>
  </si>
  <si>
    <t>2nd GROUP B</t>
  </si>
  <si>
    <t>B50</t>
  </si>
  <si>
    <t>3º GRUPO B</t>
  </si>
  <si>
    <t>3rd GROUP B</t>
  </si>
  <si>
    <t>B51</t>
  </si>
  <si>
    <t>4º GRUPO B</t>
  </si>
  <si>
    <t>4th GROUP B</t>
  </si>
  <si>
    <t>B52</t>
  </si>
  <si>
    <t>1º GRUPO C</t>
  </si>
  <si>
    <t>1st GROUP C</t>
  </si>
  <si>
    <t>B53</t>
  </si>
  <si>
    <t>2º GRUPO C</t>
  </si>
  <si>
    <t>2nd GROUP C</t>
  </si>
  <si>
    <t>B54</t>
  </si>
  <si>
    <t>3º GRUPO C</t>
  </si>
  <si>
    <t>3rd GROUP C</t>
  </si>
  <si>
    <t>B55</t>
  </si>
  <si>
    <t>4º GRUPO C</t>
  </si>
  <si>
    <t>4th GROUP C</t>
  </si>
  <si>
    <t>B56</t>
  </si>
  <si>
    <t>1º GRUPO D</t>
  </si>
  <si>
    <t>1st GROUP D</t>
  </si>
  <si>
    <t>B57</t>
  </si>
  <si>
    <t>2º GRUPO D</t>
  </si>
  <si>
    <t>2nd GROUP D</t>
  </si>
  <si>
    <t>B58</t>
  </si>
  <si>
    <t>3º GRUPO D</t>
  </si>
  <si>
    <t>3rd GROUP D</t>
  </si>
  <si>
    <t>B59</t>
  </si>
  <si>
    <t>4º GRUPO D</t>
  </si>
  <si>
    <t>4th GROUP D</t>
  </si>
  <si>
    <t>B60</t>
  </si>
  <si>
    <t>1º GRUPO E</t>
  </si>
  <si>
    <t>1st GROUP E</t>
  </si>
  <si>
    <t>B61</t>
  </si>
  <si>
    <t>2º GRUPO E</t>
  </si>
  <si>
    <t>2nd GROUP E</t>
  </si>
  <si>
    <t>B62</t>
  </si>
  <si>
    <t>3º GRUPO E</t>
  </si>
  <si>
    <t>3rd GROUP E</t>
  </si>
  <si>
    <t>B63</t>
  </si>
  <si>
    <t>4º GRUPO E</t>
  </si>
  <si>
    <t>4th GROUP E</t>
  </si>
  <si>
    <t>B64</t>
  </si>
  <si>
    <t>1º GRUPO F</t>
  </si>
  <si>
    <t>1st GROUP F</t>
  </si>
  <si>
    <t>B65</t>
  </si>
  <si>
    <t>2º GRUPO F</t>
  </si>
  <si>
    <t>2nd GROUP F</t>
  </si>
  <si>
    <t>B66</t>
  </si>
  <si>
    <t>3º GRUPO F</t>
  </si>
  <si>
    <t>3rd GROUP F</t>
  </si>
  <si>
    <t>B67</t>
  </si>
  <si>
    <t>4º GRUPO F</t>
  </si>
  <si>
    <t>4th GROUP F</t>
  </si>
  <si>
    <t>1º GRUPO G</t>
  </si>
  <si>
    <t>1st GROUP G</t>
  </si>
  <si>
    <t>2º GRUPO G</t>
  </si>
  <si>
    <t>2nd GROUP G</t>
  </si>
  <si>
    <t>3º GRUPO G</t>
  </si>
  <si>
    <t>3rd GROUP G</t>
  </si>
  <si>
    <t>4º GRUPO G</t>
  </si>
  <si>
    <t>4th GROUP G</t>
  </si>
  <si>
    <t>1º GRUPO H</t>
  </si>
  <si>
    <t>1st GROUP H</t>
  </si>
  <si>
    <t>2º GRUPO H</t>
  </si>
  <si>
    <t>2nd GROUP H</t>
  </si>
  <si>
    <t>3º GRUPO H</t>
  </si>
  <si>
    <t>3rd GROUP H</t>
  </si>
  <si>
    <t>4º GRUPO H</t>
  </si>
  <si>
    <t>4th GROUP H</t>
  </si>
  <si>
    <t>1º GRUPO I</t>
  </si>
  <si>
    <t>1st GROUP I</t>
  </si>
  <si>
    <t>2º GRUPO I</t>
  </si>
  <si>
    <t>2nd GROUP I</t>
  </si>
  <si>
    <t>3º GRUPO I</t>
  </si>
  <si>
    <t>3rd GROUP I</t>
  </si>
  <si>
    <t>4º GRUPO I</t>
  </si>
  <si>
    <t>4th GROUP I</t>
  </si>
  <si>
    <t>1º GRUPO J</t>
  </si>
  <si>
    <t>1st GROUP J</t>
  </si>
  <si>
    <t>2º GRUPO J</t>
  </si>
  <si>
    <t>2nd GROUP J</t>
  </si>
  <si>
    <t>3º GRUPO J</t>
  </si>
  <si>
    <t>3rd GROUP J</t>
  </si>
  <si>
    <t>4º GRUPO J</t>
  </si>
  <si>
    <t>4th GROUP J</t>
  </si>
  <si>
    <t>1º GRUPO K</t>
  </si>
  <si>
    <t>1st GROUP K</t>
  </si>
  <si>
    <t>2º GRUPO K</t>
  </si>
  <si>
    <t>2nd GROUP K</t>
  </si>
  <si>
    <t>3º GRUPO K</t>
  </si>
  <si>
    <t>3rd GROUP K</t>
  </si>
  <si>
    <t>4º GRUPO K</t>
  </si>
  <si>
    <t>4th GROUP K</t>
  </si>
  <si>
    <t>1º GRUPO L</t>
  </si>
  <si>
    <t>1st GROUP L</t>
  </si>
  <si>
    <t>2º GRUPO L</t>
  </si>
  <si>
    <t>2nd GROUP L</t>
  </si>
  <si>
    <t>3º GRUPO L</t>
  </si>
  <si>
    <t>3rd GROUP L</t>
  </si>
  <si>
    <t>4º GRUPO L</t>
  </si>
  <si>
    <t>4th GROUP L</t>
  </si>
  <si>
    <t>B70</t>
  </si>
  <si>
    <t>Dieciseisavofinalista</t>
  </si>
  <si>
    <t>16-Finalist</t>
  </si>
  <si>
    <t>Octavofinalista</t>
  </si>
  <si>
    <t>8-Finalist</t>
  </si>
  <si>
    <t>B98</t>
  </si>
  <si>
    <t>Cuartofinalista</t>
  </si>
  <si>
    <t>Quarterfinalist</t>
  </si>
  <si>
    <t>B114</t>
  </si>
  <si>
    <t>Semifinalista</t>
  </si>
  <si>
    <t>Semifinalist</t>
  </si>
  <si>
    <t>B124</t>
  </si>
  <si>
    <t>Finalista</t>
  </si>
  <si>
    <t>Finalist</t>
  </si>
  <si>
    <t>1 al 48 (A 1 al 4, B: 5 al 8….</t>
  </si>
  <si>
    <t>Equipos</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</si>
  <si>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</si>
  <si>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</si>
  <si>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</si>
  <si>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</si>
  <si>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</si>
  <si>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</si>
  <si>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</si>
  <si>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</si>
  <si>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</si>
  <si>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</si>
  <si>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</si>
  <si>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</si>
  <si>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</si>
  <si>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</si>
  <si>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</si>
  <si>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</si>
  <si>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</si>
  <si>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</si>
  <si>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</si>
  <si>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</si>
  <si>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</si>
  <si>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</si>
  <si>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</si>
  <si>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</si>
  <si>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</si>
  <si>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</si>
  <si>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</si>
  <si>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</si>
  <si>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</si>
  <si>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</si>
  <si>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</si>
  <si>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</si>
  <si>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</si>
  <si>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</si>
  <si>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</si>
  <si>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</si>
  <si>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</si>
  <si>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</si>
  <si>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</si>
  <si>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</si>
  <si>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</si>
  <si>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</si>
  <si>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</si>
  <si>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</si>
  <si>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</si>
  <si>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</si>
  <si>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Org</t>
  </si>
  <si>
    <t>Horarios</t>
  </si>
  <si>
    <t>W2</t>
  </si>
  <si>
    <t>Estados Unidos</t>
  </si>
  <si>
    <t>United States</t>
  </si>
  <si>
    <t>Predictor</t>
  </si>
  <si>
    <t>Fase de grupos</t>
  </si>
  <si>
    <t>Group stage</t>
  </si>
  <si>
    <t>Pronóstica la ronda</t>
  </si>
  <si>
    <t>Predict the round</t>
  </si>
  <si>
    <t>Predice la selección</t>
  </si>
  <si>
    <t>Predict nation</t>
  </si>
  <si>
    <t>Ronda</t>
  </si>
  <si>
    <t>Round</t>
  </si>
  <si>
    <t>·Selecciona para cada ronda el la selección o selecciones que crees que van a llegar hasta esa ronda.</t>
  </si>
  <si>
    <t>·Select for each round the nation or nations that you think will reach that round.</t>
  </si>
  <si>
    <t>·Una vez elijas una selección, dejará de aparecer en la lista</t>
  </si>
  <si>
    <t>·Once you select a nation, it will no longer appear in the selector.</t>
  </si>
  <si>
    <t xml:space="preserve">·Si has rellenado todos y quieres hacer un cambio, </t>
  </si>
  <si>
    <t>·If you've filled everything out and want to make a change,</t>
  </si>
  <si>
    <t xml:space="preserve"> borra las selecciones que quieras cambiar y podrás volver a elegirlas</t>
  </si>
  <si>
    <t xml:space="preserve"> delete the nations you want to change and you can select them again.</t>
  </si>
  <si>
    <t>Rellenar antes del comienzo del Mundial</t>
  </si>
  <si>
    <t>Complete before World Cup begins</t>
  </si>
  <si>
    <t>·Si en tu grupo no vais a usar el predictor, puedes dejarlo sin rellenar</t>
  </si>
  <si>
    <t>·If you are not going to use the predictor in your group, you can leave it unfilled</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</si>
  <si>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</si>
  <si>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</si>
  <si>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Original: matejero.es</t>
  </si>
  <si>
    <t>Orden</t>
  </si>
  <si>
    <t>V/F</t>
  </si>
  <si>
    <t>Option</t>
  </si>
  <si>
    <t>EFGHIJKL</t>
  </si>
  <si>
    <t>DFGHIJKL</t>
  </si>
  <si>
    <t>DEGHIJKL</t>
  </si>
  <si>
    <t>DEFHIJKL</t>
  </si>
  <si>
    <t>DEFGIJKL</t>
  </si>
  <si>
    <t>DEFGHJKL</t>
  </si>
  <si>
    <t>DEFGHIKL</t>
  </si>
  <si>
    <t>DEFGHIJL</t>
  </si>
  <si>
    <t>DEFGHIJK</t>
  </si>
  <si>
    <t>CFGHIJKL</t>
  </si>
  <si>
    <t>CEGHIJKL</t>
  </si>
  <si>
    <t>CEFHIJKL</t>
  </si>
  <si>
    <t>CEFGIJKL</t>
  </si>
  <si>
    <t>CEFGHJKL</t>
  </si>
  <si>
    <t>CEFGHIKL</t>
  </si>
  <si>
    <t>CEFGHIJL</t>
  </si>
  <si>
    <t>CEFGHIJK</t>
  </si>
  <si>
    <t>CDGHIJKL</t>
  </si>
  <si>
    <t>CDFHIJKL</t>
  </si>
  <si>
    <t>CDFGIJKL</t>
  </si>
  <si>
    <t>CDFGHJKL</t>
  </si>
  <si>
    <t>CDFGHIKL</t>
  </si>
  <si>
    <t>CDFGHIJL</t>
  </si>
  <si>
    <t>CDFGHIJK</t>
  </si>
  <si>
    <t>CDEHIJKL</t>
  </si>
  <si>
    <t>CDEGIJKL</t>
  </si>
  <si>
    <t>CDEGHJKL</t>
  </si>
  <si>
    <t>CDEGHIKL</t>
  </si>
  <si>
    <t>CDEGHIJL</t>
  </si>
  <si>
    <t>CDEGHIJK</t>
  </si>
  <si>
    <t>CDEFIJKL</t>
  </si>
  <si>
    <t>CDEFHJKL</t>
  </si>
  <si>
    <t>CDEFHIKL</t>
  </si>
  <si>
    <t>CDEFHIJL</t>
  </si>
  <si>
    <t>CDEFHIJK</t>
  </si>
  <si>
    <t>CDEFGJKL</t>
  </si>
  <si>
    <t>CDEFGIKL</t>
  </si>
  <si>
    <t>CDEFGIJL</t>
  </si>
  <si>
    <t>CDEFGIJK</t>
  </si>
  <si>
    <t>CDEFGHKL</t>
  </si>
  <si>
    <t>CDEFGHJL</t>
  </si>
  <si>
    <t>CDEFGHJK</t>
  </si>
  <si>
    <t>CDEFGHIL</t>
  </si>
  <si>
    <t>CDEFGHIK</t>
  </si>
  <si>
    <t>CDEFGHIJ</t>
  </si>
  <si>
    <t>BFGHIJKL</t>
  </si>
  <si>
    <t>BEGHIJKL</t>
  </si>
  <si>
    <t>BEFHIJKL</t>
  </si>
  <si>
    <t>BEFGIJKL</t>
  </si>
  <si>
    <t>BEFGHJKL</t>
  </si>
  <si>
    <t>BEFGHIKL</t>
  </si>
  <si>
    <t>BEFGHIJL</t>
  </si>
  <si>
    <t>BEFGHIJK</t>
  </si>
  <si>
    <t>BDGHIJKL</t>
  </si>
  <si>
    <t>BDFHIJKL</t>
  </si>
  <si>
    <t>BDFGIJKL</t>
  </si>
  <si>
    <t>BDFGHJKL</t>
  </si>
  <si>
    <t>BDFGHIKL</t>
  </si>
  <si>
    <t>BDFGHIJL</t>
  </si>
  <si>
    <t>BDFGHIJK</t>
  </si>
  <si>
    <t>BDEHIJKL</t>
  </si>
  <si>
    <t>BDEGIJKL</t>
  </si>
  <si>
    <t>BDEGHJKL</t>
  </si>
  <si>
    <t>BDEGHIKL</t>
  </si>
  <si>
    <t>BDEGHIJL</t>
  </si>
  <si>
    <t>BDEGHIJK</t>
  </si>
  <si>
    <t>BDEFIJKL</t>
  </si>
  <si>
    <t>BDEFHJKL</t>
  </si>
  <si>
    <t>BDEFHIKL</t>
  </si>
  <si>
    <t>BDEFHIJL</t>
  </si>
  <si>
    <t>BDEFHIJK</t>
  </si>
  <si>
    <t>BDEFGJKL</t>
  </si>
  <si>
    <t>BDEFGIKL</t>
  </si>
  <si>
    <t>BDEFGIJL</t>
  </si>
  <si>
    <t>BDEFGIJK</t>
  </si>
  <si>
    <t>BDEFGHKL</t>
  </si>
  <si>
    <t>BDEFGHJL</t>
  </si>
  <si>
    <t>BDEFGHJK</t>
  </si>
  <si>
    <t>BDEFGHIL</t>
  </si>
  <si>
    <t>BDEFGHIK</t>
  </si>
  <si>
    <t>BDEFGHIJ</t>
  </si>
  <si>
    <t>BCGHIJKL</t>
  </si>
  <si>
    <t>BCFHIJKL</t>
  </si>
  <si>
    <t>BCFGIJKL</t>
  </si>
  <si>
    <t>BCFGHJKL</t>
  </si>
  <si>
    <t>BCFGHIKL</t>
  </si>
  <si>
    <t>BCFGHIJL</t>
  </si>
  <si>
    <t>BCFGHIJK</t>
  </si>
  <si>
    <t>BCEHIJKL</t>
  </si>
  <si>
    <t>BCEGIJKL</t>
  </si>
  <si>
    <t>BCEGHJKL</t>
  </si>
  <si>
    <t>BCEGHIKL</t>
  </si>
  <si>
    <t>BCEGHIJL</t>
  </si>
  <si>
    <t>BCEGHIJK</t>
  </si>
  <si>
    <t>BCEFIJKL</t>
  </si>
  <si>
    <t>BCEFHJKL</t>
  </si>
  <si>
    <t>BCEFHIKL</t>
  </si>
  <si>
    <t>BCEFHIJL</t>
  </si>
  <si>
    <t>BCEFHIJK</t>
  </si>
  <si>
    <t>BCEFGJKL</t>
  </si>
  <si>
    <t>BCEFGIKL</t>
  </si>
  <si>
    <t>BCEFGIJL</t>
  </si>
  <si>
    <t>BCEFGIJK</t>
  </si>
  <si>
    <t>BCEFGHKL</t>
  </si>
  <si>
    <t>BCEFGHJL</t>
  </si>
  <si>
    <t>BCEFGHJK</t>
  </si>
  <si>
    <t>BCEFGHIL</t>
  </si>
  <si>
    <t>BCEFGHIK</t>
  </si>
  <si>
    <t>BCEFGHIJ</t>
  </si>
  <si>
    <t>BCDHIJKL</t>
  </si>
  <si>
    <t>BCDGIJKL</t>
  </si>
  <si>
    <t>BCDGHJKL</t>
  </si>
  <si>
    <t>BCDGHIKL</t>
  </si>
  <si>
    <t>BCDGHIJL</t>
  </si>
  <si>
    <t>BCDGHIJK</t>
  </si>
  <si>
    <t>BCDFIJKL</t>
  </si>
  <si>
    <t>BCDFHJKL</t>
  </si>
  <si>
    <t>BCDFHIKL</t>
  </si>
  <si>
    <t>BCDFHIJL</t>
  </si>
  <si>
    <t>BCDFHIJK</t>
  </si>
  <si>
    <t>BCDFGJKL</t>
  </si>
  <si>
    <t>BCDFGIKL</t>
  </si>
  <si>
    <t>BCDFGIJL</t>
  </si>
  <si>
    <t>BCDFGIJK</t>
  </si>
  <si>
    <t>BCDFGHKL</t>
  </si>
  <si>
    <t>BCDFGHJL</t>
  </si>
  <si>
    <t>BCDFGHJK</t>
  </si>
  <si>
    <t>BCDFGHIL</t>
  </si>
  <si>
    <t>BCDFGHIK</t>
  </si>
  <si>
    <t>BCDFGHIJ</t>
  </si>
  <si>
    <t>BCDEIJKL</t>
  </si>
  <si>
    <t>BCDEHJKL</t>
  </si>
  <si>
    <t>BCDEHIKL</t>
  </si>
  <si>
    <t>BCDEHIJL</t>
  </si>
  <si>
    <t>BCDEHIJK</t>
  </si>
  <si>
    <t>BCDEGJKL</t>
  </si>
  <si>
    <t>BCDEGIKL</t>
  </si>
  <si>
    <t>BCDEGIJL</t>
  </si>
  <si>
    <t>BCDEGIJK</t>
  </si>
  <si>
    <t>BCDEGHKL</t>
  </si>
  <si>
    <t>BCDEGHJL</t>
  </si>
  <si>
    <t>BCDEGHJK</t>
  </si>
  <si>
    <t>BCDEGHIL</t>
  </si>
  <si>
    <t>BCDEGHIK</t>
  </si>
  <si>
    <t>BCDEGHIJ</t>
  </si>
  <si>
    <t>BCDEFJKL</t>
  </si>
  <si>
    <t>BCDEFIKL</t>
  </si>
  <si>
    <t>BCDEFIJL</t>
  </si>
  <si>
    <t>BCDEFIJK</t>
  </si>
  <si>
    <t>BCDEFHKL</t>
  </si>
  <si>
    <t>BCDEFHJL</t>
  </si>
  <si>
    <t>BCDEFHJK</t>
  </si>
  <si>
    <t>BCDEFHIL</t>
  </si>
  <si>
    <t>BCDEFHIK</t>
  </si>
  <si>
    <t>BCDEFHIJ</t>
  </si>
  <si>
    <t>BCDEFGKL</t>
  </si>
  <si>
    <t>BCDEFGJL</t>
  </si>
  <si>
    <t>BCDEFGJK</t>
  </si>
  <si>
    <t>BCDEFGIL</t>
  </si>
  <si>
    <t>BCDEFGIK</t>
  </si>
  <si>
    <t>BCDEFGIJ</t>
  </si>
  <si>
    <t>BCDEFGHL</t>
  </si>
  <si>
    <t>BCDEFGHK</t>
  </si>
  <si>
    <t>BCDEFGHJ</t>
  </si>
  <si>
    <t>BCDEFGHI</t>
  </si>
  <si>
    <t>AFGHIJKL</t>
  </si>
  <si>
    <t>AEGHIJKL</t>
  </si>
  <si>
    <t>AEFHIJKL</t>
  </si>
  <si>
    <t>AEFGIJKL</t>
  </si>
  <si>
    <t>AEFGHJKL</t>
  </si>
  <si>
    <t>AEFGHIKL</t>
  </si>
  <si>
    <t>AEFGHIJL</t>
  </si>
  <si>
    <t>AEFGHIJK</t>
  </si>
  <si>
    <t>ADGHIJKL</t>
  </si>
  <si>
    <t>ADFHIJKL</t>
  </si>
  <si>
    <t>ADFGIJKL</t>
  </si>
  <si>
    <t>ADFGHJKL</t>
  </si>
  <si>
    <t>ADFGHIKL</t>
  </si>
  <si>
    <t>ADFGHIJL</t>
  </si>
  <si>
    <t>ADFGHIJK</t>
  </si>
  <si>
    <t>ADEHIJKL</t>
  </si>
  <si>
    <t>ADEGIJKL</t>
  </si>
  <si>
    <t>ADEGHJKL</t>
  </si>
  <si>
    <t>ADEGHIKL</t>
  </si>
  <si>
    <t>ADEGHIJL</t>
  </si>
  <si>
    <t>ADEGHIJK</t>
  </si>
  <si>
    <t>ADEFIJKL</t>
  </si>
  <si>
    <t>ADEFHJKL</t>
  </si>
  <si>
    <t>ADEFHIKL</t>
  </si>
  <si>
    <t>ADEFHIJL</t>
  </si>
  <si>
    <t>ADEFHIJK</t>
  </si>
  <si>
    <t>ADEFGJKL</t>
  </si>
  <si>
    <t>ADEFGIKL</t>
  </si>
  <si>
    <t>ADEFGIJL</t>
  </si>
  <si>
    <t>ADEFGIJK</t>
  </si>
  <si>
    <t>ADEFGHKL</t>
  </si>
  <si>
    <t>ADEFGHJL</t>
  </si>
  <si>
    <t>ADEFGHJK</t>
  </si>
  <si>
    <t>ADEFGHIL</t>
  </si>
  <si>
    <t>ADEFGHIK</t>
  </si>
  <si>
    <t>ADEFGHIJ</t>
  </si>
  <si>
    <t>ACGHIJKL</t>
  </si>
  <si>
    <t>ACFHIJKL</t>
  </si>
  <si>
    <t>ACFGIJKL</t>
  </si>
  <si>
    <t>ACFGHJKL</t>
  </si>
  <si>
    <t>ACFGHIKL</t>
  </si>
  <si>
    <t>ACFGHIJL</t>
  </si>
  <si>
    <t>ACFGHIJK</t>
  </si>
  <si>
    <t>ACEHIJKL</t>
  </si>
  <si>
    <t>ACEGIJKL</t>
  </si>
  <si>
    <t>ACEGHJKL</t>
  </si>
  <si>
    <t>ACEGHIKL</t>
  </si>
  <si>
    <t>ACEGHIJL</t>
  </si>
  <si>
    <t>ACEGHIJK</t>
  </si>
  <si>
    <t>ACEFIJKL</t>
  </si>
  <si>
    <t>ACEFHJKL</t>
  </si>
  <si>
    <t>ACEFHIKL</t>
  </si>
  <si>
    <t>ACEFHIJL</t>
  </si>
  <si>
    <t>ACEFHIJK</t>
  </si>
  <si>
    <t>ACEFGJKL</t>
  </si>
  <si>
    <t>ACEFGIKL</t>
  </si>
  <si>
    <t>ACEFGIJL</t>
  </si>
  <si>
    <t>ACEFGIJK</t>
  </si>
  <si>
    <t>ACEFGHKL</t>
  </si>
  <si>
    <t>ACEFGHJL</t>
  </si>
  <si>
    <t>ACEFGHJK</t>
  </si>
  <si>
    <t>ACEFGHIL</t>
  </si>
  <si>
    <t>ACEFGHIK</t>
  </si>
  <si>
    <t>ACEFGHIJ</t>
  </si>
  <si>
    <t>ACDHIJKL</t>
  </si>
  <si>
    <t>ACDGIJKL</t>
  </si>
  <si>
    <t>ACDGHJKL</t>
  </si>
  <si>
    <t>ACDGHIKL</t>
  </si>
  <si>
    <t>ACDGHIJL</t>
  </si>
  <si>
    <t>ACDGHIJK</t>
  </si>
  <si>
    <t>ACDFIJKL</t>
  </si>
  <si>
    <t>ACDFHJKL</t>
  </si>
  <si>
    <t>ACDFHIKL</t>
  </si>
  <si>
    <t>ACDFHIJL</t>
  </si>
  <si>
    <t>ACDFHIJK</t>
  </si>
  <si>
    <t>ACDFGJKL</t>
  </si>
  <si>
    <t>ACDFGIKL</t>
  </si>
  <si>
    <t>ACDFGIJL</t>
  </si>
  <si>
    <t>ACDFGIJK</t>
  </si>
  <si>
    <t>ACDFGHKL</t>
  </si>
  <si>
    <t>ACDFGHJL</t>
  </si>
  <si>
    <t>ACDFGHJK</t>
  </si>
  <si>
    <t>ACDFGHIL</t>
  </si>
  <si>
    <t>ACDFGHIK</t>
  </si>
  <si>
    <t>ACDFGHIJ</t>
  </si>
  <si>
    <t>ACDEIJKL</t>
  </si>
  <si>
    <t>ACDEHJKL</t>
  </si>
  <si>
    <t>ACDEHIKL</t>
  </si>
  <si>
    <t>ACDEHIJL</t>
  </si>
  <si>
    <t>ACDEHIJK</t>
  </si>
  <si>
    <t>ACDEGJKL</t>
  </si>
  <si>
    <t>ACDEGIKL</t>
  </si>
  <si>
    <t>ACDEGIJL</t>
  </si>
  <si>
    <t>ACDEGIJK</t>
  </si>
  <si>
    <t>ACDEGHKL</t>
  </si>
  <si>
    <t>ACDEGHJL</t>
  </si>
  <si>
    <t>ACDEGHJK</t>
  </si>
  <si>
    <t>ACDEGHIL</t>
  </si>
  <si>
    <t>ACDEGHIK</t>
  </si>
  <si>
    <t>ACDEGHIJ</t>
  </si>
  <si>
    <t>ACDEFJKL</t>
  </si>
  <si>
    <t>ACDEFIKL</t>
  </si>
  <si>
    <t>ACDEFIJL</t>
  </si>
  <si>
    <t>ACDEFIJK</t>
  </si>
  <si>
    <t>ACDEFHKL</t>
  </si>
  <si>
    <t>ACDEFHJL</t>
  </si>
  <si>
    <t>ACDEFHJK</t>
  </si>
  <si>
    <t>ACDEFHIL</t>
  </si>
  <si>
    <t>ACDEFHIK</t>
  </si>
  <si>
    <t>ACDEFHIJ</t>
  </si>
  <si>
    <t>ACDEFGKL</t>
  </si>
  <si>
    <t>ACDEFGJL</t>
  </si>
  <si>
    <t>ACDEFGJK</t>
  </si>
  <si>
    <t>ACDEFGIL</t>
  </si>
  <si>
    <t>ACDEFGIK</t>
  </si>
  <si>
    <t>ACDEFGIJ</t>
  </si>
  <si>
    <t>ACDEFGHL</t>
  </si>
  <si>
    <t>ACDEFGHK</t>
  </si>
  <si>
    <t>ACDEFGHJ</t>
  </si>
  <si>
    <t>ACDEFGHI</t>
  </si>
  <si>
    <t>ABGHIJKL</t>
  </si>
  <si>
    <t>ABFHIJKL</t>
  </si>
  <si>
    <t>ABFGIJKL</t>
  </si>
  <si>
    <t>ABFGHJKL</t>
  </si>
  <si>
    <t>ABFGHIKL</t>
  </si>
  <si>
    <t>ABFGHIJL</t>
  </si>
  <si>
    <t>ABFGHIJK</t>
  </si>
  <si>
    <t>ABEHIJKL</t>
  </si>
  <si>
    <t>ABEGIJKL</t>
  </si>
  <si>
    <t>ABEGHJKL</t>
  </si>
  <si>
    <t>ABEGHIKL</t>
  </si>
  <si>
    <t>ABEGHIJL</t>
  </si>
  <si>
    <t>ABEGHIJK</t>
  </si>
  <si>
    <t>ABEFIJKL</t>
  </si>
  <si>
    <t>ABEFHJKL</t>
  </si>
  <si>
    <t>ABEFHIKL</t>
  </si>
  <si>
    <t>ABEFHIJL</t>
  </si>
  <si>
    <t>ABEFHIJK</t>
  </si>
  <si>
    <t>ABEFGJKL</t>
  </si>
  <si>
    <t>ABEFGIKL</t>
  </si>
  <si>
    <t>ABEFGIJL</t>
  </si>
  <si>
    <t>ABEFGIJK</t>
  </si>
  <si>
    <t>ABEFGHKL</t>
  </si>
  <si>
    <t>ABEFGHJL</t>
  </si>
  <si>
    <t>ABEFGHJK</t>
  </si>
  <si>
    <t>ABEFGHIL</t>
  </si>
  <si>
    <t>ABEFGHIK</t>
  </si>
  <si>
    <t>ABEFGHIJ</t>
  </si>
  <si>
    <t>ABDHIJKL</t>
  </si>
  <si>
    <t>ABDGIJKL</t>
  </si>
  <si>
    <t>ABDGHJKL</t>
  </si>
  <si>
    <t>ABDGHIKL</t>
  </si>
  <si>
    <t>ABDGHIJL</t>
  </si>
  <si>
    <t>ABDGHIJK</t>
  </si>
  <si>
    <t>ABDFIJKL</t>
  </si>
  <si>
    <t>ABDFHJKL</t>
  </si>
  <si>
    <t>ABDFHIKL</t>
  </si>
  <si>
    <t>ABDFHIJL</t>
  </si>
  <si>
    <t>ABDFHIJK</t>
  </si>
  <si>
    <t>ABDFGJKL</t>
  </si>
  <si>
    <t>ABDFGIKL</t>
  </si>
  <si>
    <t>ABDFGIJL</t>
  </si>
  <si>
    <t>ABDFGIJK</t>
  </si>
  <si>
    <t>ABDFGHKL</t>
  </si>
  <si>
    <t>ABDFGHJL</t>
  </si>
  <si>
    <t>ABDFGHJK</t>
  </si>
  <si>
    <t>ABDFGHIL</t>
  </si>
  <si>
    <t>ABDFGHIK</t>
  </si>
  <si>
    <t>ABDFGHIJ</t>
  </si>
  <si>
    <t>ABDEIJKL</t>
  </si>
  <si>
    <t>ABDEHJKL</t>
  </si>
  <si>
    <t>ABDEHIKL</t>
  </si>
  <si>
    <t>ABDEHIJL</t>
  </si>
  <si>
    <t>ABDEHIJK</t>
  </si>
  <si>
    <t>ABDEGJKL</t>
  </si>
  <si>
    <t>ABDEGIKL</t>
  </si>
  <si>
    <t>ABDEGIJL</t>
  </si>
  <si>
    <t>ABDEGIJK</t>
  </si>
  <si>
    <t>ABDEGHKL</t>
  </si>
  <si>
    <t>ABDEGHJL</t>
  </si>
  <si>
    <t>ABDEGHJK</t>
  </si>
  <si>
    <t>ABDEGHIL</t>
  </si>
  <si>
    <t>ABDEGHIK</t>
  </si>
  <si>
    <t>ABDEGHIJ</t>
  </si>
  <si>
    <t>ABDEFJKL</t>
  </si>
  <si>
    <t>ABDEFIKL</t>
  </si>
  <si>
    <t>ABDEFIJL</t>
  </si>
  <si>
    <t>ABDEFIJK</t>
  </si>
  <si>
    <t>ABDEFHKL</t>
  </si>
  <si>
    <t>ABDEFHJL</t>
  </si>
  <si>
    <t>ABDEFHJK</t>
  </si>
  <si>
    <t>ABDEFHIL</t>
  </si>
  <si>
    <t>ABDEFHIK</t>
  </si>
  <si>
    <t>ABDEFHIJ</t>
  </si>
  <si>
    <t>ABDEFGKL</t>
  </si>
  <si>
    <t>ABDEFGJL</t>
  </si>
  <si>
    <t>ABDEFGJK</t>
  </si>
  <si>
    <t>ABDEFGIL</t>
  </si>
  <si>
    <t>ABDEFGIK</t>
  </si>
  <si>
    <t>ABDEFGIJ</t>
  </si>
  <si>
    <t>ABDEFGHL</t>
  </si>
  <si>
    <t>ABDEFGHK</t>
  </si>
  <si>
    <t>ABDEFGHJ</t>
  </si>
  <si>
    <t>ABDEFGHI</t>
  </si>
  <si>
    <t>ABCHIJKL</t>
  </si>
  <si>
    <t>ABCGIJKL</t>
  </si>
  <si>
    <t>ABCGHJKL</t>
  </si>
  <si>
    <t>ABCGHIKL</t>
  </si>
  <si>
    <t>ABCGHIJL</t>
  </si>
  <si>
    <t>ABCGHIJK</t>
  </si>
  <si>
    <t>ABCFIJKL</t>
  </si>
  <si>
    <t>ABCFHJKL</t>
  </si>
  <si>
    <t>ABCFHIKL</t>
  </si>
  <si>
    <t>ABCFHIJL</t>
  </si>
  <si>
    <t>ABCFHIJK</t>
  </si>
  <si>
    <t>ABCFGJKL</t>
  </si>
  <si>
    <t>ABCFGIKL</t>
  </si>
  <si>
    <t>ABCFGIJL</t>
  </si>
  <si>
    <t>ABCFGIJK</t>
  </si>
  <si>
    <t>ABCFGHKL</t>
  </si>
  <si>
    <t>ABCFGHJL</t>
  </si>
  <si>
    <t>ABCFGHJK</t>
  </si>
  <si>
    <t>ABCFGHIL</t>
  </si>
  <si>
    <t>ABCFGHIK</t>
  </si>
  <si>
    <t>ABCFGHIJ</t>
  </si>
  <si>
    <t>ABCEIJKL</t>
  </si>
  <si>
    <t>ABCEHJKL</t>
  </si>
  <si>
    <t>ABCEHIKL</t>
  </si>
  <si>
    <t>ABCEHIJL</t>
  </si>
  <si>
    <t>ABCEHIJK</t>
  </si>
  <si>
    <t>ABCEGJKL</t>
  </si>
  <si>
    <t>ABCEGIKL</t>
  </si>
  <si>
    <t>ABCEGIJL</t>
  </si>
  <si>
    <t>ABCEGIJK</t>
  </si>
  <si>
    <t>ABCEGHKL</t>
  </si>
  <si>
    <t>ABCEGHJL</t>
  </si>
  <si>
    <t>ABCEGHJK</t>
  </si>
  <si>
    <t>ABCEGHIL</t>
  </si>
  <si>
    <t>ABCEGHIK</t>
  </si>
  <si>
    <t>ABCEGHIJ</t>
  </si>
  <si>
    <t>ABCEFJKL</t>
  </si>
  <si>
    <t>ABCEFIKL</t>
  </si>
  <si>
    <t>ABCEFIJL</t>
  </si>
  <si>
    <t>ABCEFIJK</t>
  </si>
  <si>
    <t>ABCEFHKL</t>
  </si>
  <si>
    <t>ABCEFHJL</t>
  </si>
  <si>
    <t>ABCEFHJK</t>
  </si>
  <si>
    <t>ABCEFHIL</t>
  </si>
  <si>
    <t>ABCEFHIK</t>
  </si>
  <si>
    <t>ABCEFHIJ</t>
  </si>
  <si>
    <t>ABCEFGKL</t>
  </si>
  <si>
    <t>ABCEFGJL</t>
  </si>
  <si>
    <t>ABCEFGJK</t>
  </si>
  <si>
    <t>ABCEFGIL</t>
  </si>
  <si>
    <t>ABCEFGIK</t>
  </si>
  <si>
    <t>ABCEFGIJ</t>
  </si>
  <si>
    <t>ABCEFGHL</t>
  </si>
  <si>
    <t>ABCEFGHK</t>
  </si>
  <si>
    <t>ABCEFGHJ</t>
  </si>
  <si>
    <t>ABCEFGHI</t>
  </si>
  <si>
    <t>ABCDIJKL</t>
  </si>
  <si>
    <t>ABCDHJKL</t>
  </si>
  <si>
    <t>ABCDHIKL</t>
  </si>
  <si>
    <t>ABCDHIJL</t>
  </si>
  <si>
    <t>ABCDHIJK</t>
  </si>
  <si>
    <t>ABCDGJKL</t>
  </si>
  <si>
    <t>ABCDGIKL</t>
  </si>
  <si>
    <t>ABCDGIJL</t>
  </si>
  <si>
    <t>ABCDGIJK</t>
  </si>
  <si>
    <t>ABCDGHKL</t>
  </si>
  <si>
    <t>ABCDGHJL</t>
  </si>
  <si>
    <t>ABCDGHJK</t>
  </si>
  <si>
    <t>ABCDGHIL</t>
  </si>
  <si>
    <t>ABCDGHIK</t>
  </si>
  <si>
    <t>ABCDGHIJ</t>
  </si>
  <si>
    <t>ABCDFJKL</t>
  </si>
  <si>
    <t>ABCDFIKL</t>
  </si>
  <si>
    <t>ABCDFIJL</t>
  </si>
  <si>
    <t>ABCDFIJK</t>
  </si>
  <si>
    <t>ABCDFHKL</t>
  </si>
  <si>
    <t>ABCDFHJL</t>
  </si>
  <si>
    <t>ABCDFHJK</t>
  </si>
  <si>
    <t>ABCDFHIL</t>
  </si>
  <si>
    <t>ABCDFHIK</t>
  </si>
  <si>
    <t>ABCDFHIJ</t>
  </si>
  <si>
    <t>ABCDFGKL</t>
  </si>
  <si>
    <t>ABCDFGJL</t>
  </si>
  <si>
    <t>ABCDFGJK</t>
  </si>
  <si>
    <t>ABCDFGIL</t>
  </si>
  <si>
    <t>ABCDFGIK</t>
  </si>
  <si>
    <t>ABCDFGIJ</t>
  </si>
  <si>
    <t>ABCDFGHL</t>
  </si>
  <si>
    <t>ABCDFGHK</t>
  </si>
  <si>
    <t>ABCDFGHJ</t>
  </si>
  <si>
    <t>ABCDFGHI</t>
  </si>
  <si>
    <t>ABCDEJKL</t>
  </si>
  <si>
    <t>ABCDEIKL</t>
  </si>
  <si>
    <t>ABCDEIJL</t>
  </si>
  <si>
    <t>ABCDEIJK</t>
  </si>
  <si>
    <t>ABCDEHKL</t>
  </si>
  <si>
    <t>ABCDEHJL</t>
  </si>
  <si>
    <t>ABCDEHJK</t>
  </si>
  <si>
    <t>ABCDEHIL</t>
  </si>
  <si>
    <t>ABCDEHIK</t>
  </si>
  <si>
    <t>ABCDEHIJ</t>
  </si>
  <si>
    <t>ABCDEGKL</t>
  </si>
  <si>
    <t>ABCDEGJL</t>
  </si>
  <si>
    <t>ABCDEGJK</t>
  </si>
  <si>
    <t>ABCDEGIL</t>
  </si>
  <si>
    <t>ABCDEGIK</t>
  </si>
  <si>
    <t>ABCDEGIJ</t>
  </si>
  <si>
    <t>ABCDEGHL</t>
  </si>
  <si>
    <t>ABCDEGHK</t>
  </si>
  <si>
    <t>ABCDEGHJ</t>
  </si>
  <si>
    <t>ABCDEGHI</t>
  </si>
  <si>
    <t>ABCDEFKL</t>
  </si>
  <si>
    <t>ABCDEFJL</t>
  </si>
  <si>
    <t>ABCDEFJK</t>
  </si>
  <si>
    <t>ABCDEFIL</t>
  </si>
  <si>
    <t>ABCDEFIK</t>
  </si>
  <si>
    <t>ABCDEFIJ</t>
  </si>
  <si>
    <t>ABCDEFHL</t>
  </si>
  <si>
    <t>ABCDEFHK</t>
  </si>
  <si>
    <t>ABCDEFHJ</t>
  </si>
  <si>
    <t>ABCDEFHI</t>
  </si>
  <si>
    <t>ABCDEFGL</t>
  </si>
  <si>
    <t>ABCDEFGK</t>
  </si>
  <si>
    <t>ABCDEFGJ</t>
  </si>
  <si>
    <t>ABCDEFGI</t>
  </si>
  <si>
    <t>ABCDEFGH</t>
  </si>
  <si>
    <t>Miguel Angel Tejero</t>
  </si>
  <si>
    <t>matejero.es</t>
  </si>
  <si>
    <t>matejero.com</t>
  </si>
  <si>
    <t>File</t>
  </si>
  <si>
    <t>Admin Excel World Cup 2026</t>
  </si>
  <si>
    <t>Excel Champions League 2025-2026</t>
  </si>
  <si>
    <t>Excel Liga Española 1ª División 2025-2026</t>
  </si>
  <si>
    <t>Excel Liga Española 2ª División 2025-2026</t>
  </si>
  <si>
    <t>Excel Premier League 2025-2026</t>
  </si>
  <si>
    <t>Excel Libertadores/Sudamericana 2026</t>
  </si>
  <si>
    <t>Select Nation</t>
  </si>
  <si>
    <t>ID</t>
  </si>
  <si>
    <t>ESP</t>
  </si>
  <si>
    <t>ENG</t>
  </si>
  <si>
    <t>Emoji (mac)</t>
  </si>
  <si>
    <t>Flag image (Windows)</t>
  </si>
  <si>
    <t>Time (UTC)</t>
  </si>
  <si>
    <t>Irán/Iran</t>
  </si>
  <si>
    <t>Irán</t>
  </si>
  <si>
    <t>Iran</t>
  </si>
  <si>
    <t>🇮🇷</t>
  </si>
  <si>
    <t>Emiratos Árabes Unidos/United Arab Emirates</t>
  </si>
  <si>
    <t>Emiratos Árabes Unidos</t>
  </si>
  <si>
    <t>United Arab Emirates</t>
  </si>
  <si>
    <t>🇦🇪</t>
  </si>
  <si>
    <t>Bolivia/Bolivia</t>
  </si>
  <si>
    <t>Bolivia</t>
  </si>
  <si>
    <t>🇧🇴</t>
  </si>
  <si>
    <t>Surinam/Suriname</t>
  </si>
  <si>
    <t>Surinam</t>
  </si>
  <si>
    <t>Suriname</t>
  </si>
  <si>
    <t>🇸🇷</t>
  </si>
  <si>
    <t>Otro/Other</t>
  </si>
  <si>
    <t>Select Time (UTC)</t>
  </si>
  <si>
    <t>Flag emoji (mac)</t>
  </si>
  <si>
    <t>Escribe el país</t>
  </si>
  <si>
    <t>Write the nation</t>
  </si>
  <si>
    <t>List</t>
  </si>
  <si>
    <t>Alemania</t>
  </si>
  <si>
    <t>Germany</t>
  </si>
  <si>
    <t>Arabia Saudita</t>
  </si>
  <si>
    <t>Saudi Arabia</t>
  </si>
  <si>
    <t>Argelia</t>
  </si>
  <si>
    <t>Algeria</t>
  </si>
  <si>
    <t>Argentina</t>
  </si>
  <si>
    <t>Australia</t>
  </si>
  <si>
    <t>Austria</t>
  </si>
  <si>
    <t>Bélgica</t>
  </si>
  <si>
    <t>Belgium</t>
  </si>
  <si>
    <t>Brasil</t>
  </si>
  <si>
    <t>Brazil</t>
  </si>
  <si>
    <t>Cabo Verde</t>
  </si>
  <si>
    <t>Cape Verde</t>
  </si>
  <si>
    <t>Canadá</t>
  </si>
  <si>
    <t>Canada</t>
  </si>
  <si>
    <t>Catar</t>
  </si>
  <si>
    <t>Qatar</t>
  </si>
  <si>
    <t>Colombia</t>
  </si>
  <si>
    <t>Corea del Sur</t>
  </si>
  <si>
    <t>South Korea</t>
  </si>
  <si>
    <t>Costa de Marfil</t>
  </si>
  <si>
    <t>Ivory Coast</t>
  </si>
  <si>
    <t>Croacia</t>
  </si>
  <si>
    <t>Croatia</t>
  </si>
  <si>
    <t>Curazao</t>
  </si>
  <si>
    <t>Curaçao</t>
  </si>
  <si>
    <t>Ecuador</t>
  </si>
  <si>
    <t>Egipto</t>
  </si>
  <si>
    <t>Egypt</t>
  </si>
  <si>
    <t>Escocia</t>
  </si>
  <si>
    <t>Scotland</t>
  </si>
  <si>
    <t>España</t>
  </si>
  <si>
    <t>Spain</t>
  </si>
  <si>
    <t>Francia</t>
  </si>
  <si>
    <t>France</t>
  </si>
  <si>
    <t>Ghana</t>
  </si>
  <si>
    <t>Haití</t>
  </si>
  <si>
    <t>Haiti</t>
  </si>
  <si>
    <t>Inglaterra</t>
  </si>
  <si>
    <t>England</t>
  </si>
  <si>
    <t>Japón</t>
  </si>
  <si>
    <t>Japan</t>
  </si>
  <si>
    <t>Jordania</t>
  </si>
  <si>
    <t>Jordan</t>
  </si>
  <si>
    <t>Marruecos</t>
  </si>
  <si>
    <t>Morocco</t>
  </si>
  <si>
    <t>México</t>
  </si>
  <si>
    <t>Mexico</t>
  </si>
  <si>
    <t>Noruega</t>
  </si>
  <si>
    <t>Norway</t>
  </si>
  <si>
    <t>Nueva Zelanda</t>
  </si>
  <si>
    <t>New Zealand</t>
  </si>
  <si>
    <t>Países Bajos</t>
  </si>
  <si>
    <t>Panamá</t>
  </si>
  <si>
    <t>Panama</t>
  </si>
  <si>
    <t>Paraguay</t>
  </si>
  <si>
    <t>Portugal</t>
  </si>
  <si>
    <t>Senegal</t>
  </si>
  <si>
    <t>Sudáfrica</t>
  </si>
  <si>
    <t>South Africa</t>
  </si>
  <si>
    <t>Suiza</t>
  </si>
  <si>
    <t>Switzerland</t>
  </si>
  <si>
    <t>Túnez</t>
  </si>
  <si>
    <t>Tunisia</t>
  </si>
  <si>
    <t>Uruguay</t>
  </si>
  <si>
    <t>Uzbekistán</t>
  </si>
  <si>
    <t>Uzbekistan</t>
  </si>
  <si>
    <t>RD Congo</t>
  </si>
  <si>
    <t>DR Congo</t>
  </si>
  <si>
    <t>Irak</t>
  </si>
  <si>
    <t>Iraq</t>
  </si>
  <si>
    <t>Bosnia y Herzegovina</t>
  </si>
  <si>
    <t>Bosnia and Herzegovina</t>
  </si>
  <si>
    <t>Suecia</t>
  </si>
  <si>
    <t>Sweden</t>
  </si>
  <si>
    <t>Turquía</t>
  </si>
  <si>
    <t>Turkey</t>
  </si>
  <si>
    <t>República Checa</t>
  </si>
  <si>
    <t>Czech Republic</t>
  </si>
  <si>
    <t>Num</t>
  </si>
  <si>
    <t>Rank</t>
  </si>
  <si>
    <t>GRUPOS</t>
  </si>
  <si>
    <t>Bandera</t>
  </si>
  <si>
    <t>🇩🇪</t>
  </si>
  <si>
    <t>matejero</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</si>
  <si>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</si>
  <si>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</si>
  <si>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</si>
  <si>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</si>
  <si>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</si>
  <si>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</si>
  <si>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</si>
  <si>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</si>
  <si>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</si>
  <si>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</si>
  <si>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</si>
  <si>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</si>
  <si>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</si>
  <si>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</si>
  <si>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</si>
  <si>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</si>
  <si>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</si>
  <si>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</si>
  <si>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</si>
  <si>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</si>
  <si>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</si>
  <si>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</si>
  <si>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</si>
  <si>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</si>
  <si>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</si>
  <si>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</si>
  <si>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</si>
  <si>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</si>
  <si>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</si>
  <si>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</si>
  <si>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</si>
  <si>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</si>
  <si>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</si>
  <si>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</si>
  <si>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</si>
  <si>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</si>
  <si>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</si>
  <si>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</si>
  <si>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</si>
  <si>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</si>
  <si>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</si>
  <si>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</si>
  <si>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</si>
  <si>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</si>
  <si>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</si>
  <si>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t>
  </si>
  <si>
    <t>Escribir el pais en idiomas</t>
  </si>
  <si>
    <t>País</t>
  </si>
  <si>
    <t>UTC</t>
  </si>
  <si>
    <t>en horas</t>
  </si>
  <si>
    <t>Se usa en desempates el num</t>
  </si>
  <si>
    <t>Organizador:</t>
  </si>
  <si>
    <t>UTC (Verano)</t>
  </si>
  <si>
    <t>UTC en horas</t>
  </si>
  <si>
    <t>Organizador</t>
  </si>
  <si>
    <t>Diferencia con organizador</t>
  </si>
  <si>
    <t>Dif  en horas</t>
  </si>
  <si>
    <t>+/-</t>
  </si>
  <si>
    <t>GA</t>
  </si>
  <si>
    <t>https://www.zeitverschiebung.net/es/country/vn</t>
  </si>
  <si>
    <t>GB</t>
  </si>
  <si>
    <t>GE</t>
  </si>
  <si>
    <t>GG</t>
  </si>
  <si>
    <t>UTC -12</t>
  </si>
  <si>
    <t>UTC -11</t>
  </si>
  <si>
    <t>UTC -10</t>
  </si>
  <si>
    <t>UTC -9</t>
  </si>
  <si>
    <t>UTC -8</t>
  </si>
  <si>
    <t>UTC -7</t>
  </si>
  <si>
    <t>UTC -6</t>
  </si>
  <si>
    <t>UTC -5</t>
  </si>
  <si>
    <t>GH</t>
  </si>
  <si>
    <t>UTC -4</t>
  </si>
  <si>
    <t>UTC -3:30</t>
  </si>
  <si>
    <t>UTC -3</t>
  </si>
  <si>
    <t>UTC -2</t>
  </si>
  <si>
    <t>UTC -1</t>
  </si>
  <si>
    <t>UTC +1</t>
  </si>
  <si>
    <t>UTC +2</t>
  </si>
  <si>
    <t>GI</t>
  </si>
  <si>
    <t>UTC +3</t>
  </si>
  <si>
    <t>UTC +3:30</t>
  </si>
  <si>
    <t>UTC +4</t>
  </si>
  <si>
    <t>UTC +4:30</t>
  </si>
  <si>
    <t>UTC +5</t>
  </si>
  <si>
    <t>UTC +5:30</t>
  </si>
  <si>
    <t>UTC +5:45</t>
  </si>
  <si>
    <t>UTC +6</t>
  </si>
  <si>
    <t>GJ</t>
  </si>
  <si>
    <t>UTC +6:30</t>
  </si>
  <si>
    <t>UTC +7</t>
  </si>
  <si>
    <t>UTC +8</t>
  </si>
  <si>
    <t>UTC +9</t>
  </si>
  <si>
    <t>UTC +9:30</t>
  </si>
  <si>
    <t>UTC +10</t>
  </si>
  <si>
    <t>UTC +10:30</t>
  </si>
  <si>
    <t>UTC +11</t>
  </si>
  <si>
    <t>GK</t>
  </si>
  <si>
    <t>UTC +12</t>
  </si>
  <si>
    <t>UTC +12:45</t>
  </si>
  <si>
    <t>UTC +13</t>
  </si>
  <si>
    <t>UTC +14</t>
  </si>
  <si>
    <t>GL</t>
  </si>
  <si>
    <t>DIECISEISAVOS</t>
  </si>
  <si>
    <t>Por orden de fecha</t>
  </si>
  <si>
    <t>Por orden de partido</t>
  </si>
  <si>
    <t>OCTAVOS</t>
  </si>
  <si>
    <t>CUARTOS</t>
  </si>
  <si>
    <t>SF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</si>
</sst>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44" builtinId="9" hidden="1"/>
    <cellStyle name="Gevolgde hyperlink" xfId="46" builtinId="9" hidden="1"/>
    <cellStyle name="Gevolgde hyperlink" xfId="48" builtinId="9" hidden="1"/>
    <cellStyle name="Gevolgde hyperlink" xfId="50" builtinId="9" hidden="1"/>
    <cellStyle name="Gevolgde hyperlink" xfId="52" builtinId="9" hidden="1"/>
    <cellStyle name="Gevolgde hyperlink" xfId="54" builtinId="9" hidden="1"/>
    <cellStyle name="Gevolgde hyperlink" xfId="56" builtinId="9" hidden="1"/>
    <cellStyle name="Gevolgde hyperlink" xfId="58" builtinId="9" hidden="1"/>
    <cellStyle name="Gevolgde hyperlink" xfId="60" builtinId="9" hidden="1"/>
    <cellStyle name="Gevolgde hyperlink" xfId="62" builtinId="9" hidden="1"/>
    <cellStyle name="Gevolgde hyperlink" xfId="64" builtinId="9" hidden="1"/>
    <cellStyle name="Gevolgde hyperlink" xfId="66" builtinId="9" hidden="1"/>
    <cellStyle name="Gevolgde hyperlink" xfId="68" builtinId="9" hidden="1"/>
    <cellStyle name="Gevolgde hyperlink" xfId="70" builtinId="9" hidden="1"/>
    <cellStyle name="Gevolgde hyperlink" xfId="72" builtinId="9" hidden="1"/>
    <cellStyle name="Gevolgde hyperlink" xfId="74" builtinId="9" hidden="1"/>
    <cellStyle name="Gevolgde hyperlink" xfId="76" builtinId="9" hidden="1"/>
    <cellStyle name="Gevolgde hyperlink" xfId="78" builtinId="9" hidden="1"/>
    <cellStyle name="Gevolgde hyperlink" xfId="80" builtinId="9" hidden="1"/>
    <cellStyle name="Gevolgde hyperlink" xfId="82" builtinId="9" hidden="1"/>
    <cellStyle name="Gevolgde hyperlink" xfId="84" builtinId="9" hidden="1"/>
    <cellStyle name="Gevolgde hyperlink" xfId="86" builtinId="9" hidden="1"/>
    <cellStyle name="Gevolgde hyperlink" xfId="88" builtinId="9" hidden="1"/>
    <cellStyle name="Gevolgde hyperlink" xfId="89" builtinId="9" hidden="1"/>
    <cellStyle name="Gevolgde hyperlink" xfId="87" builtinId="9" hidden="1"/>
    <cellStyle name="Gevolgde hyperlink" xfId="85" builtinId="9" hidden="1"/>
    <cellStyle name="Gevolgde hyperlink" xfId="83" builtinId="9" hidden="1"/>
    <cellStyle name="Gevolgde hyperlink" xfId="81" builtinId="9" hidden="1"/>
    <cellStyle name="Gevolgde hyperlink" xfId="79" builtinId="9" hidden="1"/>
    <cellStyle name="Gevolgde hyperlink" xfId="77" builtinId="9" hidden="1"/>
    <cellStyle name="Gevolgde hyperlink" xfId="75" builtinId="9" hidden="1"/>
    <cellStyle name="Gevolgde hyperlink" xfId="73" builtinId="9" hidden="1"/>
    <cellStyle name="Gevolgde hyperlink" xfId="71" builtinId="9" hidden="1"/>
    <cellStyle name="Gevolgde hyperlink" xfId="69" builtinId="9" hidden="1"/>
    <cellStyle name="Gevolgde hyperlink" xfId="67" builtinId="9" hidden="1"/>
    <cellStyle name="Gevolgde hyperlink" xfId="65" builtinId="9" hidden="1"/>
    <cellStyle name="Gevolgde hyperlink" xfId="63" builtinId="9" hidden="1"/>
    <cellStyle name="Gevolgde hyperlink" xfId="61" builtinId="9" hidden="1"/>
    <cellStyle name="Gevolgde hyperlink" xfId="59" builtinId="9" hidden="1"/>
    <cellStyle name="Gevolgde hyperlink" xfId="57" builtinId="9" hidden="1"/>
    <cellStyle name="Gevolgde hyperlink" xfId="55" builtinId="9" hidden="1"/>
    <cellStyle name="Gevolgde hyperlink" xfId="53" builtinId="9" hidden="1"/>
    <cellStyle name="Gevolgde hyperlink" xfId="51" builtinId="9" hidden="1"/>
    <cellStyle name="Gevolgde hyperlink" xfId="49" builtinId="9" hidden="1"/>
    <cellStyle name="Gevolgde hyperlink" xfId="47" builtinId="9" hidden="1"/>
    <cellStyle name="Gevolgde hyperlink" xfId="45" builtinId="9" hidden="1"/>
    <cellStyle name="Gevolgde hyperlink" xfId="43" builtinId="9" hidden="1"/>
    <cellStyle name="Gevolgde hyperlink" xfId="20" builtinId="9" hidden="1"/>
    <cellStyle name="Gevolgde hyperlink" xfId="24" builtinId="9" hidden="1"/>
    <cellStyle name="Gevolgde hyperlink" xfId="26" builtinId="9" hidden="1"/>
    <cellStyle name="Gevolgde hyperlink" xfId="28" builtinId="9" hidden="1"/>
    <cellStyle name="Gevolgde hyperlink" xfId="30" builtinId="9" hidden="1"/>
    <cellStyle name="Gevolgde hyperlink" xfId="31" builtinId="9" hidden="1"/>
    <cellStyle name="Gevolgde hyperlink" xfId="32" builtinId="9" hidden="1"/>
    <cellStyle name="Gevolgde hyperlink" xfId="34" builtinId="9" hidden="1"/>
    <cellStyle name="Gevolgde hyperlink" xfId="35" builtinId="9" hidden="1"/>
    <cellStyle name="Gevolgde hyperlink" xfId="36" builtinId="9" hidden="1"/>
    <cellStyle name="Gevolgde hyperlink" xfId="38" builtinId="9" hidden="1"/>
    <cellStyle name="Gevolgde hyperlink" xfId="39" builtinId="9" hidden="1"/>
    <cellStyle name="Gevolgde hyperlink" xfId="40" builtinId="9" hidden="1"/>
    <cellStyle name="Gevolgde hyperlink" xfId="42" builtinId="9" hidden="1"/>
    <cellStyle name="Gevolgde hyperlink" xfId="41" builtinId="9" hidden="1"/>
    <cellStyle name="Gevolgde hyperlink" xfId="37" builtinId="9" hidden="1"/>
    <cellStyle name="Gevolgde hyperlink" xfId="33" builtinId="9" hidden="1"/>
    <cellStyle name="Gevolgde hyperlink" xfId="29" builtinId="9" hidden="1"/>
    <cellStyle name="Gevolgde hyperlink" xfId="22"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4" builtinId="9" hidden="1"/>
    <cellStyle name="Gevolgde hyperlink" xfId="8" builtinId="9" hidden="1"/>
    <cellStyle name="Gevolgde hyperlink" xfId="6" builtinId="9" hidden="1"/>
    <cellStyle name="Gevolgde hyperlink" xfId="2" builtinId="9" hidden="1"/>
    <cellStyle name="Hipervínculo 2" xfId="94" xr:uid="{008C30FC-4EBF-9B4A-9B7C-80AE025592FE}"/>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7" builtinId="8" hidden="1"/>
    <cellStyle name="Hyperlink" xfId="9" builtinId="8" hidden="1"/>
    <cellStyle name="Hyperlink" xfId="11" builtinId="8" hidden="1"/>
    <cellStyle name="Hyperlink" xfId="13" builtinId="8" hidden="1"/>
    <cellStyle name="Hyperlink" xfId="3" builtinId="8" hidden="1"/>
    <cellStyle name="Hyperlink" xfId="5" builtinId="8" hidden="1"/>
    <cellStyle name="Hyperlink" xfId="1"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99">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0">
    <v>28</v>
    <v>4</v>
  </rv>
  <rv s="0">
    <v>29</v>
    <v>4</v>
  </rv>
  <rv s="0">
    <v>30</v>
    <v>4</v>
  </rv>
  <rv s="0">
    <v>31</v>
    <v>4</v>
  </rv>
  <rv s="0">
    <v>32</v>
    <v>4</v>
  </rv>
  <rv s="0">
    <v>33</v>
    <v>4</v>
  </rv>
  <rv s="1">
    <v>34</v>
    <v>4</v>
    <v>Bandera de Irak</v>
  </rv>
  <rv s="0">
    <v>35</v>
    <v>4</v>
  </rv>
  <rv s="0">
    <v>36</v>
    <v>4</v>
  </rv>
  <rv s="0">
    <v>37</v>
    <v>4</v>
  </rv>
  <rv s="0">
    <v>38</v>
    <v>4</v>
  </rv>
  <rv s="0">
    <v>39</v>
    <v>4</v>
  </rv>
  <rv s="0">
    <v>40</v>
    <v>4</v>
  </rv>
  <rv s="1">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1">
    <v>41</v>
    <v>5</v>
    <v>Bandera de República Democrática del Congo</v>
  </rv>
  <rv s="1">
    <v>34</v>
    <v>5</v>
    <v>Bandera de Irak</v>
  </rv>
  <rv s="0">
    <v>5</v>
    <v>5</v>
  </rv>
  <rv s="0">
    <v>22</v>
    <v>5</v>
  </rv>
  <rv s="0">
    <v>15</v>
    <v>5</v>
  </rv>
  <rv s="0">
    <v>3</v>
    <v>5</v>
  </rv>
</rvData>
</file>

<file path=xl/richData/rdrichvaluestructure.xml><?xml version="1.0" encoding="utf-8"?>
<rvStructures xmlns="http://schemas.microsoft.com/office/spreadsheetml/2017/richdata" count="2">
  <s t="_localImage">
    <k n="_rvRel:LocalImageIdentifier" t="i"/>
    <k n="CalcOrigin"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6" dataDxfId="5">
  <sortState xmlns:xlrd2="http://schemas.microsoft.com/office/spreadsheetml/2017/richdata2" ref="A2:D13">
    <sortCondition ref="D2:D13"/>
  </sortState>
  <tableColumns count="4">
    <tableColumn id="1" xr3:uid="{00000000-0010-0000-0B00-000001000000}" name="Num" dataDxfId="4">
      <calculatedColumnFormula>NOT(ISERROR(VLOOKUP(Equipos!$B2,#REF!,1,FALSE)))</calculatedColumnFormula>
    </tableColumn>
    <tableColumn id="2" xr3:uid="{00000000-0010-0000-0B00-000002000000}" name="NombreEquipo" dataDxfId="3">
      <calculatedColumnFormula>+INDEX(Idiomas!$D$202:$D$249,MATCH(T_Equipos[[#This Row],[Num]],Idiomas!$C$202:$C$249,0))</calculatedColumnFormula>
    </tableColumn>
    <tableColumn id="4" xr3:uid="{00000000-0010-0000-0B00-000004000000}" name="Grupo" dataDxfId="2"/>
    <tableColumn id="3" xr3:uid="{00000000-0010-0000-0B00-000003000000}" name="Rank" dataDxfId="1"/>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topLeftCell="A45" zoomScaleNormal="100" workbookViewId="0">
      <selection activeCell="C10" sqref="C10"/>
      <extLst>
        <ext xmlns:xlsdti="http://schemas.microsoft.com/office/spreadsheetml/2023/showDataTypeIcons" uri="{77bfe23e-c014-4d31-8a63-9c772dbf06b6}">
          <xlsdti:showDataTypeIcons visible="0"/>
        </ext>
      </extLst>
    </sheetView>
  </sheetViews>
  <sheetFormatPr defaultColWidth="0" defaultRowHeight="15"/>
  <cols>
    <col min="1" max="1" width="3.85546875" style="299" customWidth="1"/>
    <col min="2" max="2" width="15.85546875" style="299" customWidth="1"/>
    <col min="3" max="3" width="26.85546875" style="299" customWidth="1"/>
    <col min="4" max="4" width="5.85546875" style="299" customWidth="1"/>
    <col min="5" max="9" width="11.28515625" style="319" customWidth="1"/>
    <col min="10" max="10" width="5.85546875" style="319" customWidth="1"/>
    <col min="11" max="11" width="26.85546875" style="319" customWidth="1"/>
    <col min="12" max="12" width="15.85546875" style="299" customWidth="1"/>
    <col min="13" max="13" width="10.42578125" style="299" customWidth="1"/>
    <col min="14" max="15" width="10.85546875" style="299" customWidth="1"/>
    <col min="16" max="16" width="12.140625" style="299" customWidth="1"/>
    <col min="17" max="17" width="6.140625" style="299" customWidth="1"/>
    <col min="18" max="31" width="10.85546875" style="299" customWidth="1"/>
    <col min="32" max="16384" width="10.85546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5" customHeight="1" thickBot="1">
      <c r="A6" s="298"/>
      <c r="B6" s="19"/>
      <c r="C6" s="289" t="s">
        <v>0</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5" customHeight="1" thickBot="1">
      <c r="A8" s="298"/>
      <c r="B8" s="19"/>
      <c r="C8" s="289" t="s">
        <v>1</v>
      </c>
      <c r="D8" s="298"/>
      <c r="E8" s="301"/>
      <c r="F8" s="301"/>
      <c r="G8" s="301"/>
      <c r="H8" s="301"/>
      <c r="I8" s="301"/>
      <c r="J8" s="301"/>
      <c r="K8" s="307" t="s">
        <v>2</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5" customHeight="1" thickBot="1">
      <c r="A10" s="298"/>
      <c r="B10" s="19"/>
      <c r="C10" s="289" t="s">
        <v>3</v>
      </c>
      <c r="D10" s="298"/>
      <c r="E10" s="301"/>
      <c r="F10" s="301"/>
      <c r="G10" s="301"/>
      <c r="H10" s="301"/>
      <c r="I10" s="301"/>
      <c r="J10" s="301"/>
      <c r="K10" s="307" t="s">
        <v>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5"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5"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50000000000003"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50000000000003" customHeight="1" thickBot="1">
      <c r="A17" s="298"/>
      <c r="B17" s="298"/>
      <c r="C17" s="298"/>
      <c r="D17" s="298"/>
      <c r="E17" s="630" t="str">
        <f>HYPERLINK(Idiomas!D10,Idiomas!D9)</f>
        <v>▼ Download Administrator Excel File ▼</v>
      </c>
      <c r="F17" s="631"/>
      <c r="G17" s="631"/>
      <c r="H17" s="631"/>
      <c r="I17" s="632"/>
      <c r="J17" s="301"/>
      <c r="K17" s="312" t="s">
        <v>5</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6</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6</v>
      </c>
      <c r="C21" s="298"/>
      <c r="D21" s="298"/>
      <c r="E21" s="316" t="s">
        <v>7</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5" customHeight="1" thickBot="1">
      <c r="A22" s="298"/>
      <c r="B22" s="298" t="s">
        <v>6</v>
      </c>
      <c r="C22" s="298"/>
      <c r="D22" s="298"/>
      <c r="E22" s="20" t="s">
        <v>8</v>
      </c>
      <c r="F22" s="21" t="s">
        <v>9</v>
      </c>
      <c r="G22" s="22" t="s">
        <v>10</v>
      </c>
      <c r="H22" s="23" t="s">
        <v>11</v>
      </c>
      <c r="I22" s="317" t="s">
        <v>12</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6</v>
      </c>
      <c r="C23" s="298"/>
      <c r="D23" s="298"/>
      <c r="E23" s="301"/>
      <c r="F23" s="301"/>
      <c r="G23" s="301"/>
      <c r="H23" s="301"/>
      <c r="I23" s="301"/>
      <c r="J23" s="301"/>
      <c r="K23" s="296" t="s">
        <v>13</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abSelected="1" topLeftCell="V129" zoomScaleNormal="100" workbookViewId="0">
      <selection activeCell="AD133" sqref="AD133"/>
      <extLst>
        <ext xmlns:xlsdti="http://schemas.microsoft.com/office/spreadsheetml/2023/showDataTypeIcons" uri="{77bfe23e-c014-4d31-8a63-9c772dbf06b6}">
          <xlsdti:showDataTypeIcons visible="0"/>
        </ext>
      </extLst>
    </sheetView>
  </sheetViews>
  <sheetFormatPr defaultColWidth="0" defaultRowHeight="15"/>
  <cols>
    <col min="1" max="2" width="10.85546875" hidden="1" customWidth="1"/>
    <col min="3" max="3" width="2.140625" hidden="1" customWidth="1"/>
    <col min="4" max="10" width="8.85546875" hidden="1" customWidth="1"/>
    <col min="11" max="11" width="12.85546875" hidden="1" customWidth="1"/>
    <col min="12" max="14" width="8.85546875" hidden="1" customWidth="1"/>
    <col min="15" max="15" width="17" hidden="1" customWidth="1"/>
    <col min="16" max="21" width="8.85546875" hidden="1" customWidth="1"/>
    <col min="22" max="22" width="3.42578125" customWidth="1"/>
    <col min="23" max="23" width="6.7109375" customWidth="1"/>
    <col min="24" max="24" width="11.85546875" customWidth="1"/>
    <col min="25" max="25" width="6.85546875" customWidth="1"/>
    <col min="26" max="26" width="5.140625" customWidth="1"/>
    <col min="27" max="27" width="20.85546875" customWidth="1"/>
    <col min="28" max="28" width="3.28515625" customWidth="1"/>
    <col min="29" max="30" width="5.28515625" customWidth="1"/>
    <col min="31" max="31" width="3.28515625" customWidth="1"/>
    <col min="32" max="32" width="20.85546875" customWidth="1"/>
    <col min="33" max="33" width="3.42578125" customWidth="1"/>
    <col min="34" max="34" width="5.140625" style="187" customWidth="1"/>
    <col min="35" max="35" width="3.28515625" style="187" customWidth="1"/>
    <col min="36" max="36" width="4.28515625" customWidth="1"/>
    <col min="37" max="37" width="3.28515625" customWidth="1"/>
    <col min="38" max="38" width="20.85546875" customWidth="1"/>
    <col min="39" max="39" width="5.85546875" customWidth="1"/>
    <col min="40" max="43" width="4.28515625" customWidth="1"/>
    <col min="44" max="45" width="4.7109375" customWidth="1"/>
    <col min="46" max="46" width="4.85546875" customWidth="1"/>
    <col min="47" max="47" width="3.28515625" style="190" customWidth="1"/>
    <col min="48" max="48" width="18.42578125" style="194" customWidth="1"/>
    <col min="49" max="49" width="3.42578125" style="7" customWidth="1"/>
    <col min="50" max="50" width="3.42578125" style="4" customWidth="1"/>
    <col min="51" max="51" width="19.7109375" style="15" customWidth="1"/>
    <col min="52" max="52" width="15.85546875" style="7" customWidth="1"/>
    <col min="53" max="53" width="3" customWidth="1"/>
    <col min="54" max="54" width="11" hidden="1" customWidth="1"/>
    <col min="55" max="55" width="6" hidden="1" customWidth="1"/>
    <col min="56" max="56" width="17" hidden="1" customWidth="1"/>
    <col min="57" max="57" width="9.28515625" hidden="1" customWidth="1"/>
    <col min="58" max="58" width="2.140625" hidden="1" customWidth="1"/>
    <col min="59" max="59" width="8.28515625" hidden="1" customWidth="1"/>
    <col min="60" max="60" width="2.140625" hidden="1" customWidth="1"/>
    <col min="61" max="61" width="2.42578125" hidden="1" customWidth="1"/>
    <col min="62" max="62" width="8.140625" hidden="1" customWidth="1"/>
    <col min="63" max="63" width="4.85546875" hidden="1" customWidth="1"/>
    <col min="64" max="64" width="5.85546875" hidden="1" customWidth="1"/>
    <col min="65" max="66" width="5.7109375" hidden="1" customWidth="1"/>
    <col min="67" max="69" width="10" hidden="1" customWidth="1"/>
    <col min="70" max="71" width="7.28515625" hidden="1" customWidth="1"/>
    <col min="72" max="100" width="8" hidden="1" customWidth="1"/>
    <col min="101" max="101" width="4.140625" hidden="1" customWidth="1"/>
    <col min="102" max="102" width="7.28515625" hidden="1" customWidth="1"/>
    <col min="103" max="103" width="0" hidden="1" customWidth="1"/>
    <col min="104" max="104" width="3.140625" hidden="1" customWidth="1"/>
    <col min="105" max="105" width="8.7109375" hidden="1" customWidth="1"/>
    <col min="106" max="106" width="8" hidden="1" customWidth="1"/>
    <col min="107" max="107" width="15.85546875" hidden="1" customWidth="1"/>
    <col min="108" max="108" width="11" hidden="1" customWidth="1"/>
    <col min="109" max="109" width="2.7109375" hidden="1" customWidth="1"/>
    <col min="110" max="112" width="11" hidden="1" customWidth="1"/>
    <col min="113" max="113" width="0" hidden="1" customWidth="1"/>
    <col min="114" max="116" width="11" hidden="1" customWidth="1"/>
    <col min="117" max="117" width="0" hidden="1" customWidth="1"/>
    <col min="118" max="118" width="17.85546875" hidden="1" customWidth="1"/>
    <col min="119" max="119" width="10.85546875" hidden="1" customWidth="1"/>
    <col min="120" max="120" width="11" hidden="1" customWidth="1"/>
    <col min="121" max="123" width="10.85546875" hidden="1" customWidth="1"/>
    <col min="124" max="124" width="0" hidden="1" customWidth="1"/>
    <col min="125" max="16384" width="10.85546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72" t="str">
        <f>Idiomas!D8</f>
        <v>XXIII World Cup USA/MEX/CAN 2026</v>
      </c>
      <c r="X1" s="672"/>
      <c r="Y1" s="672"/>
      <c r="Z1" s="672"/>
      <c r="AA1" s="672"/>
      <c r="AB1" s="672"/>
      <c r="AC1" s="672"/>
      <c r="AD1" s="672"/>
      <c r="AE1" s="672"/>
      <c r="AF1" s="672"/>
      <c r="AG1" s="144"/>
      <c r="AH1" s="180"/>
      <c r="AI1" s="180"/>
      <c r="AJ1" s="144"/>
      <c r="AK1" s="144"/>
      <c r="AL1" s="294" t="str">
        <f>HYPERLINK(Idiomas!D10,Idiomas!D9)</f>
        <v>▼ Download Administrator Excel File ▼</v>
      </c>
      <c r="AM1" s="144"/>
      <c r="AN1" s="144"/>
      <c r="AO1" s="144"/>
      <c r="AP1" s="144"/>
      <c r="AQ1" s="144"/>
      <c r="AR1" s="144"/>
      <c r="AS1" s="144"/>
      <c r="AT1" s="144"/>
      <c r="AU1" s="332"/>
      <c r="AV1" s="295" t="s">
        <v>5</v>
      </c>
      <c r="AW1" s="144"/>
      <c r="AX1" s="144"/>
      <c r="AY1" s="144"/>
      <c r="AZ1" s="144"/>
      <c r="BA1" s="176"/>
      <c r="DN1" s="16" t="s">
        <v>14</v>
      </c>
    </row>
    <row r="2" spans="1:121" ht="9.9499999999999993"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5" customHeight="1" thickBot="1">
      <c r="A3" s="16"/>
      <c r="B3" s="16"/>
      <c r="C3" s="16"/>
      <c r="D3" s="16" t="s">
        <v>15</v>
      </c>
      <c r="E3" s="16" t="s">
        <v>16</v>
      </c>
      <c r="F3" s="16" t="s">
        <v>17</v>
      </c>
      <c r="G3" s="16"/>
      <c r="H3" s="16" t="s">
        <v>18</v>
      </c>
      <c r="I3" s="16" t="s">
        <v>19</v>
      </c>
      <c r="J3" s="16"/>
      <c r="K3" s="16" t="s">
        <v>20</v>
      </c>
      <c r="L3" s="16" t="s">
        <v>21</v>
      </c>
      <c r="M3" s="16"/>
      <c r="N3" s="16" t="s">
        <v>22</v>
      </c>
      <c r="O3" s="16" t="s">
        <v>23</v>
      </c>
      <c r="P3" s="16"/>
      <c r="Q3" s="16" t="s">
        <v>24</v>
      </c>
      <c r="R3" s="16" t="s">
        <v>25</v>
      </c>
      <c r="S3" s="16"/>
      <c r="T3" s="16" t="s">
        <v>26</v>
      </c>
      <c r="U3" s="16" t="s">
        <v>27</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28</v>
      </c>
      <c r="BA3" s="176"/>
    </row>
    <row r="4" spans="1:121" ht="15.95" customHeight="1" thickBot="1">
      <c r="A4" s="16" t="s">
        <v>29</v>
      </c>
      <c r="B4" s="16" t="s">
        <v>30</v>
      </c>
      <c r="C4" s="16">
        <f>COUNTIF(Equipos!$C$2:$C$49,WORLDCUP!B4)</f>
        <v>4</v>
      </c>
      <c r="D4" s="16" t="str">
        <f t="shared" ref="D4:D9" si="0">IF(OR(AC4="",AD4=""),"Pendiente",IF(AC4&gt;AD4,"Local",IF(AC4&lt;AD4,"Visitante","Empate")))</f>
        <v>Local</v>
      </c>
      <c r="E4" s="16" t="str">
        <f t="shared" ref="E4:E9" ca="1" si="1">IF(D4="Pendiente","-",INDEX($BT$6:$BT$53,MATCH($AA4,$BD$6:$BD$53,0)))</f>
        <v>P.1 (2)</v>
      </c>
      <c r="F4" s="16" t="str">
        <f t="shared" ref="F4:F9" ca="1" si="2">IF(D4="Pendiente","-",INDEX($BT$6:$BT$53,MATCH($AF4,$BD$6:$BD$53,0)))</f>
        <v>-</v>
      </c>
      <c r="G4" s="16"/>
      <c r="H4" s="16" t="str">
        <f t="shared" ref="H4:H9" ca="1" si="3">IF(D4="Pendiente","-",INDEX($BZ$6:$BZ$53,MATCH($AA4,$BD$6:$BD$53,0)))</f>
        <v>P.1 (2)</v>
      </c>
      <c r="I4" s="16" t="str">
        <f t="shared" ref="I4:I9" ca="1" si="4">IF(D4="Pendiente","-",INDEX($BZ$6:$BZ$53,MATCH($AF4,$BD$6:$BD$53,0)))</f>
        <v>-</v>
      </c>
      <c r="J4" s="16"/>
      <c r="K4" s="16" t="str">
        <f t="shared" ref="K4:K9" ca="1" si="5">IF(D4="Pendiente","-",INDEX($CE$6:$CE$53,MATCH($AA4,$BD$6:$BD$53,0)))</f>
        <v>P.1 (2)</v>
      </c>
      <c r="L4" s="16" t="str">
        <f t="shared" ref="L4:L9" ca="1" si="6">IF(D4="Pendiente","-",INDEX($CE$6:$CE$53,MATCH($AF4,$BD$6:$BD$53,0)))</f>
        <v>-</v>
      </c>
      <c r="M4" s="16"/>
      <c r="N4" s="16" t="str">
        <f t="shared" ref="N4:N9" ca="1" si="7">IF(D4="Pendiente","-",INDEX($CH$6:$CH$53,MATCH($AA4,$BD$6:$BD$53,0)))</f>
        <v>P.1 (2)</v>
      </c>
      <c r="O4" s="16" t="str">
        <f t="shared" ref="O4:O9" ca="1" si="8">IF(D4="Pendiente","-",INDEX($CH$6:$CH$53,MATCH($AF4,$BD$6:$BD$53,0)))</f>
        <v>-</v>
      </c>
      <c r="P4" s="16"/>
      <c r="Q4" s="16" t="str">
        <f t="shared" ref="Q4:Q9" ca="1" si="9">IF(D4="Pendiente","-",INDEX($CN$6:$CN$53,MATCH($AA4,$BD$6:$BD$53,0)))</f>
        <v>P.1 (2)</v>
      </c>
      <c r="R4" s="16" t="str">
        <f t="shared" ref="R4:R9" ca="1" si="10">IF(D4="Pendiente","-",INDEX($CN$6:$CN$53,MATCH($AF4,$BD$6:$BD$53,0)))</f>
        <v>-</v>
      </c>
      <c r="S4" s="16"/>
      <c r="T4" s="16" t="str">
        <f t="shared" ref="T4:T9" ca="1" si="11">IF(D4="Pendiente","-",INDEX($CS$6:$CS$53,MATCH($AA4,$BD$6:$BD$53,0)))</f>
        <v>P.1 (2)</v>
      </c>
      <c r="U4" s="16" t="str">
        <f t="shared" ref="U4:U9" ca="1" si="12">IF(D4="Pendiente","-",INDEX($CS$6:$CS$53,MATCH($AF4,$BD$6:$BD$53,0)))</f>
        <v>-</v>
      </c>
      <c r="V4" s="17"/>
      <c r="W4" s="668" t="s">
        <v>30</v>
      </c>
      <c r="X4" s="24">
        <f ca="1">Horarios!C4</f>
        <v>46184.875</v>
      </c>
      <c r="Y4" s="25">
        <f ca="1">Horarios!C4</f>
        <v>46184.875</v>
      </c>
      <c r="Z4" s="26" t="str">
        <f>Idiomas!D61</f>
        <v>R1</v>
      </c>
      <c r="AA4" s="27" t="str">
        <f ca="1">+A5</f>
        <v>Mexico</v>
      </c>
      <c r="AB4" s="49" t="e" cm="1" vm="1">
        <f t="array" aca="1" ref="AB4" ca="1">Ver_flag_local</f>
        <v>#VALUE!</v>
      </c>
      <c r="AC4" s="50">
        <v>1</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31</v>
      </c>
    </row>
    <row r="5" spans="1:121" ht="15.95" customHeight="1">
      <c r="A5" s="16" t="str">
        <f ca="1">+Equipos!B2</f>
        <v>Mexico</v>
      </c>
      <c r="B5" s="16"/>
      <c r="C5" s="16"/>
      <c r="D5" s="16" t="str">
        <f t="shared" si="0"/>
        <v>Visitante</v>
      </c>
      <c r="E5" s="16" t="str">
        <f t="shared" ca="1" si="1"/>
        <v>-</v>
      </c>
      <c r="F5" s="16" t="str">
        <f t="shared" ca="1" si="2"/>
        <v>P.1 (2)</v>
      </c>
      <c r="G5" s="16"/>
      <c r="H5" s="16" t="str">
        <f t="shared" ca="1" si="3"/>
        <v>-</v>
      </c>
      <c r="I5" s="16" t="str">
        <f t="shared" ca="1" si="4"/>
        <v>P.1 (2)</v>
      </c>
      <c r="J5" s="16"/>
      <c r="K5" s="16" t="str">
        <f t="shared" ca="1" si="5"/>
        <v>-</v>
      </c>
      <c r="L5" s="16" t="str">
        <f t="shared" ca="1" si="6"/>
        <v>P.1 (2)</v>
      </c>
      <c r="M5" s="16"/>
      <c r="N5" s="16" t="str">
        <f t="shared" ca="1" si="7"/>
        <v>-</v>
      </c>
      <c r="O5" s="16" t="str">
        <f t="shared" ca="1" si="8"/>
        <v>P.1 (2)</v>
      </c>
      <c r="P5" s="16"/>
      <c r="Q5" s="16" t="str">
        <f t="shared" ca="1" si="9"/>
        <v>-</v>
      </c>
      <c r="R5" s="16" t="str">
        <f t="shared" ca="1" si="10"/>
        <v>P.1 (2)</v>
      </c>
      <c r="S5" s="16"/>
      <c r="T5" s="16" t="str">
        <f t="shared" ca="1" si="11"/>
        <v>-</v>
      </c>
      <c r="U5" s="16" t="str">
        <f t="shared" ca="1" si="12"/>
        <v>P.1 (2)</v>
      </c>
      <c r="V5" s="17"/>
      <c r="W5" s="668"/>
      <c r="X5" s="24">
        <f ca="1">Horarios!C5</f>
        <v>46185.166666666664</v>
      </c>
      <c r="Y5" s="25">
        <f ca="1">Horarios!C5</f>
        <v>46185.166666666664</v>
      </c>
      <c r="Z5" s="26" t="str">
        <f>$Z$4</f>
        <v>R1</v>
      </c>
      <c r="AA5" s="27" t="str">
        <f ca="1">A7</f>
        <v>South Korea</v>
      </c>
      <c r="AB5" s="49" t="e" cm="1" vm="3">
        <f t="array" aca="1" ref="AB5" ca="1">Ver_flag_local</f>
        <v>#VALUE!</v>
      </c>
      <c r="AC5" s="50">
        <v>0</v>
      </c>
      <c r="AD5" s="51">
        <v>1</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32</v>
      </c>
      <c r="BN5" s="16" t="s">
        <v>33</v>
      </c>
      <c r="BO5" s="16" t="s">
        <v>34</v>
      </c>
      <c r="BP5" s="16" t="s">
        <v>35</v>
      </c>
      <c r="BQ5" s="16" t="s">
        <v>36</v>
      </c>
      <c r="BR5" s="16" t="s">
        <v>37</v>
      </c>
      <c r="BS5" s="16" t="s">
        <v>38</v>
      </c>
      <c r="BT5" s="16" t="s">
        <v>39</v>
      </c>
      <c r="BU5" s="16" t="s">
        <v>40</v>
      </c>
      <c r="BV5" s="16" t="s">
        <v>41</v>
      </c>
      <c r="BW5" s="16" t="s">
        <v>42</v>
      </c>
      <c r="BX5" s="16" t="s">
        <v>43</v>
      </c>
      <c r="BY5" s="16" t="s">
        <v>44</v>
      </c>
      <c r="BZ5" s="16" t="s">
        <v>45</v>
      </c>
      <c r="CA5" s="16" t="s">
        <v>46</v>
      </c>
      <c r="CB5" s="16" t="s">
        <v>47</v>
      </c>
      <c r="CC5" s="16" t="s">
        <v>48</v>
      </c>
      <c r="CD5" s="16" t="s">
        <v>49</v>
      </c>
      <c r="CE5" s="16" t="s">
        <v>50</v>
      </c>
      <c r="CF5" s="16" t="s">
        <v>46</v>
      </c>
      <c r="CG5" s="16" t="s">
        <v>51</v>
      </c>
      <c r="CH5" s="16" t="s">
        <v>52</v>
      </c>
      <c r="CI5" s="16" t="s">
        <v>53</v>
      </c>
      <c r="CJ5" s="16" t="s">
        <v>54</v>
      </c>
      <c r="CK5" s="16" t="s">
        <v>55</v>
      </c>
      <c r="CL5" s="16" t="s">
        <v>56</v>
      </c>
      <c r="CM5" s="16" t="s">
        <v>57</v>
      </c>
      <c r="CN5" s="16" t="s">
        <v>58</v>
      </c>
      <c r="CO5" s="16" t="s">
        <v>59</v>
      </c>
      <c r="CP5" s="16" t="s">
        <v>60</v>
      </c>
      <c r="CQ5" s="16" t="s">
        <v>61</v>
      </c>
      <c r="CR5" s="16" t="s">
        <v>62</v>
      </c>
      <c r="CS5" s="16" t="s">
        <v>63</v>
      </c>
      <c r="CT5" s="16" t="s">
        <v>59</v>
      </c>
      <c r="CU5" s="16" t="s">
        <v>64</v>
      </c>
      <c r="CV5" s="16" t="s">
        <v>65</v>
      </c>
      <c r="CW5" s="16" t="s">
        <v>66</v>
      </c>
      <c r="CX5" s="16" t="s">
        <v>67</v>
      </c>
      <c r="CY5" s="16" t="s">
        <v>68</v>
      </c>
      <c r="CZ5" s="16" t="s">
        <v>69</v>
      </c>
      <c r="DA5" s="16" t="s">
        <v>70</v>
      </c>
      <c r="DB5" s="16" t="s">
        <v>71</v>
      </c>
      <c r="DC5" s="16" t="s">
        <v>72</v>
      </c>
      <c r="DD5" s="16" t="s">
        <v>73</v>
      </c>
      <c r="DE5" s="16"/>
      <c r="DF5" s="16" t="s">
        <v>74</v>
      </c>
      <c r="DG5" s="16" t="s">
        <v>75</v>
      </c>
      <c r="DH5" s="16" t="s">
        <v>76</v>
      </c>
      <c r="DI5" s="16"/>
      <c r="DJ5" s="16" t="s">
        <v>77</v>
      </c>
      <c r="DK5" s="16" t="s">
        <v>78</v>
      </c>
      <c r="DL5" s="16" t="s">
        <v>79</v>
      </c>
      <c r="DM5" s="16" t="s">
        <v>80</v>
      </c>
      <c r="DN5" s="16" t="s">
        <v>81</v>
      </c>
      <c r="DO5" s="16"/>
      <c r="DP5" s="16" t="s">
        <v>82</v>
      </c>
      <c r="DQ5" s="16" t="s">
        <v>83</v>
      </c>
    </row>
    <row r="6" spans="1:121" ht="15.95" customHeight="1">
      <c r="A6" s="16" t="str">
        <f ca="1">+Equipos!B3</f>
        <v>South Africa</v>
      </c>
      <c r="B6" s="16"/>
      <c r="C6" s="16"/>
      <c r="D6" s="16" t="str">
        <f t="shared" si="0"/>
        <v>Local</v>
      </c>
      <c r="E6" s="16" t="str">
        <f t="shared" ca="1" si="1"/>
        <v>P.1 (2)</v>
      </c>
      <c r="F6" s="16" t="str">
        <f t="shared" ca="1" si="2"/>
        <v>-</v>
      </c>
      <c r="G6" s="16"/>
      <c r="H6" s="16" t="str">
        <f t="shared" ca="1" si="3"/>
        <v>P.1 (2)</v>
      </c>
      <c r="I6" s="16" t="str">
        <f t="shared" ca="1" si="4"/>
        <v>-</v>
      </c>
      <c r="J6" s="16"/>
      <c r="K6" s="16" t="str">
        <f t="shared" ca="1" si="5"/>
        <v>P.1 (2)</v>
      </c>
      <c r="L6" s="16" t="str">
        <f t="shared" ca="1" si="6"/>
        <v>-</v>
      </c>
      <c r="M6" s="16"/>
      <c r="N6" s="16" t="str">
        <f t="shared" ca="1" si="7"/>
        <v>P.1 (2)</v>
      </c>
      <c r="O6" s="16" t="str">
        <f t="shared" ca="1" si="8"/>
        <v>-</v>
      </c>
      <c r="P6" s="16"/>
      <c r="Q6" s="16" t="str">
        <f t="shared" ca="1" si="9"/>
        <v>P.1 (2)</v>
      </c>
      <c r="R6" s="16" t="str">
        <f t="shared" ca="1" si="10"/>
        <v>-</v>
      </c>
      <c r="S6" s="16"/>
      <c r="T6" s="16" t="str">
        <f t="shared" ca="1" si="11"/>
        <v>P.1 (2)</v>
      </c>
      <c r="U6" s="16" t="str">
        <f t="shared" ca="1" si="12"/>
        <v>-</v>
      </c>
      <c r="V6" s="17"/>
      <c r="W6" s="668"/>
      <c r="X6" s="24">
        <f ca="1">Horarios!C6</f>
        <v>46191.75</v>
      </c>
      <c r="Y6" s="25">
        <f ca="1">Horarios!C6</f>
        <v>46191.75</v>
      </c>
      <c r="Z6" s="26" t="str">
        <f>Idiomas!D62</f>
        <v>R2</v>
      </c>
      <c r="AA6" s="27" t="str">
        <f ca="1">A8</f>
        <v>Czech Republic</v>
      </c>
      <c r="AB6" s="49" t="e" cm="1" vm="4">
        <f t="array" aca="1" ref="AB6" ca="1">Ver_flag_local</f>
        <v>#VALUE!</v>
      </c>
      <c r="AC6" s="50">
        <v>1</v>
      </c>
      <c r="AD6" s="51">
        <v>0</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7</v>
      </c>
      <c r="AN6" s="36">
        <f t="shared" ca="1" si="15"/>
        <v>3</v>
      </c>
      <c r="AO6" s="36">
        <f t="shared" ca="1" si="15"/>
        <v>2</v>
      </c>
      <c r="AP6" s="36">
        <f t="shared" ca="1" si="15"/>
        <v>1</v>
      </c>
      <c r="AQ6" s="36">
        <f t="shared" ca="1" si="15"/>
        <v>0</v>
      </c>
      <c r="AR6" s="36">
        <f t="shared" ca="1" si="15"/>
        <v>4</v>
      </c>
      <c r="AS6" s="36">
        <f t="shared" ca="1" si="15"/>
        <v>1</v>
      </c>
      <c r="AT6" s="41">
        <f t="shared" ca="1" si="15"/>
        <v>3</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7</v>
      </c>
      <c r="BF6" s="16">
        <f ca="1">+BG6+BH6+BI6</f>
        <v>3</v>
      </c>
      <c r="BG6" s="16">
        <f t="shared" ref="BG6:BG53" ca="1" si="17">+COUNTIFS(FGLocal,BD6,Ganador,"Local")+COUNTIFS(FGVisitante,BD6,Ganador,"Visitante")</f>
        <v>2</v>
      </c>
      <c r="BH6" s="16">
        <f t="shared" ref="BH6:BH53" ca="1" si="18">+COUNTIFS(FGLocal,BD6,Ganador,"Empate")+COUNTIFS(FGVisitante,BD6,Ganador,"Empate")</f>
        <v>1</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4</v>
      </c>
      <c r="BK6" s="16">
        <f t="shared" ref="BK6:BK53" ca="1" si="21">+SUMIFS(FG_GolesLocal,FGVisitante,BD6,Ganador,"&lt;&gt;"&amp;"Pendiente",FG_GolesLocal,"&lt;&gt;"&amp;"",FG_GolesVisitante,"&lt;&gt;"&amp;"")+SUMIFS(FG_GolesVisitante,FGLocal,BD6,Ganador,"&lt;&gt;"&amp;"Pendiente",FG_GolesLocal,"&lt;&gt;"&amp;"",FG_GolesVisitante,"&lt;&gt;"&amp;"")</f>
        <v>1</v>
      </c>
      <c r="BL6" s="16">
        <f ca="1">+BJ6-BK6</f>
        <v>3</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7</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P.1 (2)</v>
      </c>
      <c r="BU6" s="16">
        <f t="shared" ref="BU6:BU53" ca="1" si="24">IF($BT6="-","-",COUNTIFS(FGLocal,$BD6,Ganador,"Local",Part1Empate1V,$BT6)+COUNTIFS(FGVisitante,$BD6,Ganador,"Visitante",Part1Empate1L,$BT6))</f>
        <v>0</v>
      </c>
      <c r="BV6" s="16">
        <f t="shared" ref="BV6:BV53" ca="1" si="25">IF($BT6="-","-",COUNTIFS(FGLocal,$BD6,Ganador,"Empate",Part1Empate1V,$BT6)+COUNTIFS(FGVisitante,$BD6,Ganador,"Empate",Part1Empate1L,$BT6))</f>
        <v>1</v>
      </c>
      <c r="BW6" s="16">
        <f t="shared" ref="BW6:BW53" ca="1" si="26">IF($BT6="-","-",COUNTIFS(FGLocal,$BD6,Ganador,"Visitante",Part1Empate1V,$BT6)+COUNTIFS(FGVisitante,$BD6,Ganador,"Local",Part1Empate1L,$BT6))</f>
        <v>0</v>
      </c>
      <c r="BX6" s="16">
        <f ca="1">IF($BT6="-","-",BU6*3+BV6)</f>
        <v>1</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P.1 (2)</v>
      </c>
      <c r="CA6" s="16">
        <f t="shared" ref="CA6:CA53" ca="1" si="27">IF($BZ6="-","-",SUMIFS(FG_GolesLocal,FGLocal,$BD6,Part1Empate2V,$BZ6)+SUMIFS(FG_GolesVisitante,FGVisitante,$BD6,Part1Empate2L,$BZ6))</f>
        <v>1</v>
      </c>
      <c r="CB6" s="16">
        <f t="shared" ref="CB6:CB53" ca="1" si="28">IF($BZ6="-","-",SUMIFS(FG_GolesVisitante,FGLocal,$BD6,Part1Empate2V,$BZ6)+SUMIFS(FG_GolesLocal,FGVisitante,$BD6,Part1Empate2L,$BZ6))</f>
        <v>1</v>
      </c>
      <c r="CC6" s="16">
        <f ca="1">IF($BZ6="-","-",CA6-CB6)</f>
        <v>0</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P.1 (2)</v>
      </c>
      <c r="CF6" s="16">
        <f t="shared" ref="CF6:CF53" ca="1" si="29">IF($CE6="-","-",SUMIFS(FG_GolesLocal,FGLocal,$BD6,Part1Empate3V,$CE6)+SUMIFS(FG_GolesVisitante,FGVisitante,$BD6,Part1Empate3L,$CE6))</f>
        <v>1</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P.1 (2)</v>
      </c>
      <c r="CI6" s="16">
        <f t="shared" ref="CI6:CI53" ca="1" si="30">IF($CH6="-","-",COUNTIFS(FGLocal,$BD6,Ganador,"Local",Part2Empate4V,$CH6)+COUNTIFS(FGVisitante,$BD6,Ganador,"Visitante",Part2Empate4L,$CH6))</f>
        <v>0</v>
      </c>
      <c r="CJ6" s="16">
        <f t="shared" ref="CJ6:CJ53" ca="1" si="31">IF($CH6="-","-",COUNTIFS(FGLocal,$BD6,Ganador,"Empate",Part2Empate4V,$CH6)+COUNTIFS(FGVisitante,$BD6,Ganador,"Empate",Part2Empate4L,$CH6))</f>
        <v>1</v>
      </c>
      <c r="CK6" s="16">
        <f t="shared" ref="CK6:CK53" ca="1" si="32">IF($CH6="-","-",COUNTIFS(FGLocal,$BD6,Ganador,"Visitante",Part2Empate4V,$CH6)+COUNTIFS(FGVisitante,$BD6,Ganador,"Local",Part2Empate4L,$CH6))</f>
        <v>0</v>
      </c>
      <c r="CL6" s="16">
        <f ca="1">IF($CH6="-","-",CI6*3+CJ6)</f>
        <v>1</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P.1 (2)</v>
      </c>
      <c r="CO6" s="16">
        <f t="shared" ref="CO6:CO53" ca="1" si="33">IF($CN6="-","-",SUMIFS(FG_GolesLocal,FGLocal,$BD6,Part2Empate5V,$CN6)+SUMIFS(FG_GolesVisitante,FGVisitante,$BD6,Part2Empate5L,$CN6))</f>
        <v>1</v>
      </c>
      <c r="CP6" s="16">
        <f t="shared" ref="CP6:CP53" ca="1" si="34">IF($CN6="-","-",SUMIFS(FG_GolesVisitante,FGLocal,$BD6,Part2Empate5V,$CN6)+SUMIFS(FG_GolesLocal,FGVisitante,$BD6,Part2Empate5L,$CN6))</f>
        <v>1</v>
      </c>
      <c r="CQ6" s="16">
        <f ca="1">IF($CN6="-","-",CO6-CP6)</f>
        <v>0</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P.1 (2)</v>
      </c>
      <c r="CT6" s="16">
        <f t="shared" ref="CT6:CT53" ca="1" si="35">IF($CS6="-","-",SUMIFS(FG_GolesLocal,FGLocal,$BD6,Part2Empate6V,$CS6)+SUMIFS(FG_GolesVisitante,FGVisitante,$BD6,Part2Empate6L,$CS6))</f>
        <v>1</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P.1 (2)</v>
      </c>
      <c r="CW6" s="16">
        <f t="shared" ref="CW6:CW53" ca="1" si="36">IF(CV6="-","-",BL6)</f>
        <v>3</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84</v>
      </c>
      <c r="DQ6" s="16" t="str">
        <f ca="1">INDEX($BD$6:$BD$53,MATCH(DP6,$BM$6:$BM$53,0))</f>
        <v>Mexico</v>
      </c>
    </row>
    <row r="7" spans="1:121" ht="15.95" customHeight="1">
      <c r="A7" s="16" t="str">
        <f ca="1">+Equipos!B4</f>
        <v>South Korea</v>
      </c>
      <c r="B7" s="16"/>
      <c r="C7" s="16"/>
      <c r="D7" s="16" t="str">
        <f t="shared" si="0"/>
        <v>Local</v>
      </c>
      <c r="E7" s="16" t="str">
        <f t="shared" ca="1" si="1"/>
        <v>P.1 (2)</v>
      </c>
      <c r="F7" s="16" t="str">
        <f t="shared" ca="1" si="2"/>
        <v>-</v>
      </c>
      <c r="G7" s="16"/>
      <c r="H7" s="16" t="str">
        <f t="shared" ca="1" si="3"/>
        <v>P.1 (2)</v>
      </c>
      <c r="I7" s="16" t="str">
        <f t="shared" ca="1" si="4"/>
        <v>-</v>
      </c>
      <c r="J7" s="16"/>
      <c r="K7" s="16" t="str">
        <f t="shared" ca="1" si="5"/>
        <v>P.1 (2)</v>
      </c>
      <c r="L7" s="16" t="str">
        <f t="shared" ca="1" si="6"/>
        <v>-</v>
      </c>
      <c r="M7" s="16"/>
      <c r="N7" s="16" t="str">
        <f t="shared" ca="1" si="7"/>
        <v>P.1 (2)</v>
      </c>
      <c r="O7" s="16" t="str">
        <f t="shared" ca="1" si="8"/>
        <v>-</v>
      </c>
      <c r="P7" s="16"/>
      <c r="Q7" s="16" t="str">
        <f t="shared" ca="1" si="9"/>
        <v>P.1 (2)</v>
      </c>
      <c r="R7" s="16" t="str">
        <f t="shared" ca="1" si="10"/>
        <v>-</v>
      </c>
      <c r="S7" s="16"/>
      <c r="T7" s="16" t="str">
        <f t="shared" ca="1" si="11"/>
        <v>P.1 (2)</v>
      </c>
      <c r="U7" s="16" t="str">
        <f t="shared" ca="1" si="12"/>
        <v>-</v>
      </c>
      <c r="V7" s="17"/>
      <c r="W7" s="668"/>
      <c r="X7" s="24">
        <f ca="1">Horarios!C7</f>
        <v>46192.125</v>
      </c>
      <c r="Y7" s="25">
        <f ca="1">Horarios!C7</f>
        <v>46192.125</v>
      </c>
      <c r="Z7" s="26" t="str">
        <f>$Z$6</f>
        <v>R2</v>
      </c>
      <c r="AA7" s="27" t="str">
        <f ca="1">A5</f>
        <v>Mexico</v>
      </c>
      <c r="AB7" s="49" t="e" cm="1" vm="1">
        <f t="array" aca="1" ref="AB7" ca="1">Ver_flag_local</f>
        <v>#VALUE!</v>
      </c>
      <c r="AC7" s="50">
        <v>2</v>
      </c>
      <c r="AD7" s="51">
        <v>0</v>
      </c>
      <c r="AE7" s="595" t="e" cm="1" vm="3">
        <f t="array" aca="1" ref="AE7" ca="1">Ver_flag_visit</f>
        <v>#VALUE!</v>
      </c>
      <c r="AF7" s="32" t="str">
        <f ca="1">A7</f>
        <v>South Korea</v>
      </c>
      <c r="AG7" s="323">
        <f t="shared" si="13"/>
        <v>1</v>
      </c>
      <c r="AH7" s="195">
        <v>28</v>
      </c>
      <c r="AI7" s="181" t="str">
        <f>AJ7&amp;$B$4</f>
        <v>2A</v>
      </c>
      <c r="AJ7" s="42">
        <v>2</v>
      </c>
      <c r="AK7" s="598" t="e" cm="1" vm="4">
        <f t="array" aca="1" ref="AK7" ca="1">Ver_flag_visit</f>
        <v>#VALUE!</v>
      </c>
      <c r="AL7" s="37" t="str">
        <f ca="1">IFERROR(INDEX($BD$6:$BD$53,MATCH(AI7,$BN$6:$BN$53,0)),"")</f>
        <v>Czech Republic</v>
      </c>
      <c r="AM7" s="38">
        <f t="shared" ca="1" si="15"/>
        <v>7</v>
      </c>
      <c r="AN7" s="39">
        <f t="shared" ca="1" si="15"/>
        <v>3</v>
      </c>
      <c r="AO7" s="39">
        <f t="shared" ca="1" si="15"/>
        <v>2</v>
      </c>
      <c r="AP7" s="39">
        <f t="shared" ca="1" si="15"/>
        <v>1</v>
      </c>
      <c r="AQ7" s="39">
        <f t="shared" ca="1" si="15"/>
        <v>0</v>
      </c>
      <c r="AR7" s="39">
        <f t="shared" ca="1" si="15"/>
        <v>3</v>
      </c>
      <c r="AS7" s="39">
        <f t="shared" ca="1" si="15"/>
        <v>1</v>
      </c>
      <c r="AT7" s="43">
        <f t="shared" ca="1" si="15"/>
        <v>2</v>
      </c>
      <c r="AU7" s="330">
        <f ca="1">INDEX($DL$6:$DL$53,MATCH(AI7,$DP$6:$DP$53,0))</f>
        <v>1</v>
      </c>
      <c r="AV7" s="182" t="str">
        <f ca="1">INDEX($BD$6:$BD$53,MATCH(AI7,$BM$6:$BM$53,0))</f>
        <v>Czech Republic</v>
      </c>
      <c r="AW7" s="210"/>
      <c r="AX7" s="171"/>
      <c r="AY7" s="203" t="str">
        <f ca="1">+A6</f>
        <v>South Africa</v>
      </c>
      <c r="AZ7" s="204"/>
      <c r="BA7" s="176"/>
      <c r="BC7" s="16" t="str">
        <f ca="1">+INDEX(T_Equipos[Grupo],MATCH(WORLDCUP!BD7,T_Equipos[NombreEquipo],0))</f>
        <v>A</v>
      </c>
      <c r="BD7" s="16" t="str">
        <f ca="1">+Equipos!B3</f>
        <v>South Africa</v>
      </c>
      <c r="BE7" s="16">
        <f t="shared" ca="1" si="16"/>
        <v>0</v>
      </c>
      <c r="BF7" s="16">
        <f t="shared" ref="BF7:BF53" ca="1" si="41">+BG7+BH7+BI7</f>
        <v>3</v>
      </c>
      <c r="BG7" s="16">
        <f t="shared" ca="1" si="17"/>
        <v>0</v>
      </c>
      <c r="BH7" s="16">
        <f t="shared" ca="1" si="18"/>
        <v>0</v>
      </c>
      <c r="BI7" s="16">
        <f t="shared" ca="1" si="19"/>
        <v>3</v>
      </c>
      <c r="BJ7" s="16">
        <f t="shared" ca="1" si="20"/>
        <v>0</v>
      </c>
      <c r="BK7" s="16">
        <f t="shared" ca="1" si="21"/>
        <v>3</v>
      </c>
      <c r="BL7" s="16">
        <f t="shared" ref="BL7:BL53" ca="1" si="42">+BJ7-BK7</f>
        <v>-3</v>
      </c>
      <c r="BM7" s="16" t="str">
        <f t="shared" ca="1" si="22"/>
        <v>4A</v>
      </c>
      <c r="BN7" s="16" t="str">
        <f t="shared" ca="1" si="23"/>
        <v>4A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0</v>
      </c>
      <c r="BS7" s="16">
        <f ca="1">BP7+COUNTIFS($BQ$6:$BQ$53,BQ7,$BR$6:BR$53,"&gt;"&amp;BR7,$BC$6:$BC$53,INDEX(T_Equipos[Grupo],MATCH(BD7,T_Equipos[NombreEquipo],0)))</f>
        <v>4</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4</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4</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4</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4</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4</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4</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4</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4</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4</v>
      </c>
      <c r="DE7" s="16"/>
      <c r="DF7" s="16">
        <f t="shared" ref="DF7:DF9" ca="1" si="45">IF(OR(INDEX($AW$6:$AW$97,MATCH($BD7,$AV$6:$AV$97,0))="",DB7="-"),DD7,INDEX($AW$6:$AW$97,MATCH($BD7,$AV$6:$AV$97,0))+DD7/1000)</f>
        <v>4</v>
      </c>
      <c r="DG7" s="16" t="str">
        <f ca="1">IF(DB7="-","-",COUNTIFS(DF$6:DF$53,"&lt;"&amp;DF7,$BC$6:$BC$53,INDEX(T_Equipos[Grupo],MATCH(BD7,T_Equipos[NombreEquipo],0))))</f>
        <v>-</v>
      </c>
      <c r="DH7" s="16">
        <f ca="1">DA7+COUNTIFS(DB$6:DB$53,DB7,DG$6:DG$53,"&lt;"&amp;DG7,$BC$6:$BC$53,INDEX(T_Equipos[Grupo],MATCH(BD7,T_Equipos[NombreEquipo],0)))</f>
        <v>4</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85</v>
      </c>
      <c r="DQ7" s="16" t="str">
        <f t="shared" ref="DQ7:DQ53" ca="1" si="47">INDEX($BD$6:$BD$53,MATCH(DP7,$BM$6:$BM$53,0))</f>
        <v>Czech Republic</v>
      </c>
    </row>
    <row r="8" spans="1:121" ht="15.95" customHeight="1">
      <c r="A8" s="16" t="str">
        <f ca="1">+Equipos!B5</f>
        <v>Czech Republic</v>
      </c>
      <c r="B8" s="16"/>
      <c r="C8" s="16"/>
      <c r="D8" s="16" t="str">
        <f t="shared" si="0"/>
        <v>Empate</v>
      </c>
      <c r="E8" s="16" t="str">
        <f t="shared" ca="1" si="1"/>
        <v>P.1 (2)</v>
      </c>
      <c r="F8" s="16" t="str">
        <f t="shared" ca="1" si="2"/>
        <v>P.1 (2)</v>
      </c>
      <c r="G8" s="16"/>
      <c r="H8" s="16" t="str">
        <f t="shared" ca="1" si="3"/>
        <v>P.1 (2)</v>
      </c>
      <c r="I8" s="16" t="str">
        <f t="shared" ca="1" si="4"/>
        <v>P.1 (2)</v>
      </c>
      <c r="J8" s="16"/>
      <c r="K8" s="16" t="str">
        <f t="shared" ca="1" si="5"/>
        <v>P.1 (2)</v>
      </c>
      <c r="L8" s="16" t="str">
        <f t="shared" ca="1" si="6"/>
        <v>P.1 (2)</v>
      </c>
      <c r="M8" s="16"/>
      <c r="N8" s="16" t="str">
        <f t="shared" ca="1" si="7"/>
        <v>P.1 (2)</v>
      </c>
      <c r="O8" s="16" t="str">
        <f t="shared" ca="1" si="8"/>
        <v>P.1 (2)</v>
      </c>
      <c r="P8" s="16"/>
      <c r="Q8" s="16" t="str">
        <f t="shared" ca="1" si="9"/>
        <v>P.1 (2)</v>
      </c>
      <c r="R8" s="16" t="str">
        <f t="shared" ca="1" si="10"/>
        <v>P.1 (2)</v>
      </c>
      <c r="S8" s="16"/>
      <c r="T8" s="16" t="str">
        <f t="shared" ca="1" si="11"/>
        <v>P.1 (2)</v>
      </c>
      <c r="U8" s="16" t="str">
        <f t="shared" ca="1" si="12"/>
        <v>P.1 (2)</v>
      </c>
      <c r="V8" s="17"/>
      <c r="W8" s="668"/>
      <c r="X8" s="24">
        <f ca="1">Horarios!C8</f>
        <v>46198.125</v>
      </c>
      <c r="Y8" s="25">
        <f ca="1">Horarios!C8</f>
        <v>46198.125</v>
      </c>
      <c r="Z8" s="26" t="str">
        <f>Idiomas!D63</f>
        <v>R3</v>
      </c>
      <c r="AA8" s="27" t="str">
        <f ca="1">A8</f>
        <v>Czech Republic</v>
      </c>
      <c r="AB8" s="49" t="e" cm="1" vm="4">
        <f t="array" aca="1" ref="AB8" ca="1">Ver_flag_local</f>
        <v>#VALUE!</v>
      </c>
      <c r="AC8" s="50">
        <v>1</v>
      </c>
      <c r="AD8" s="51">
        <v>1</v>
      </c>
      <c r="AE8" s="595" t="e" cm="1" vm="1">
        <f t="array" aca="1" ref="AE8" ca="1">Ver_flag_visit</f>
        <v>#VALUE!</v>
      </c>
      <c r="AF8" s="32" t="str">
        <f ca="1">A5</f>
        <v>Mexico</v>
      </c>
      <c r="AG8" s="323">
        <f t="shared" si="13"/>
        <v>1</v>
      </c>
      <c r="AH8" s="195">
        <v>53</v>
      </c>
      <c r="AI8" s="181" t="str">
        <f>AJ8&amp;$B$4</f>
        <v>3A</v>
      </c>
      <c r="AJ8" s="42">
        <v>3</v>
      </c>
      <c r="AK8" s="598" t="e" cm="1" vm="3">
        <f t="array" aca="1" ref="AK8" ca="1">Ver_flag_visit</f>
        <v>#VALUE!</v>
      </c>
      <c r="AL8" s="37" t="str">
        <f ca="1">IFERROR(INDEX($BD$6:$BD$53,MATCH(AI8,$BN$6:$BN$53,0)),"")</f>
        <v>South Korea</v>
      </c>
      <c r="AM8" s="38">
        <f t="shared" ca="1" si="15"/>
        <v>3</v>
      </c>
      <c r="AN8" s="39">
        <f t="shared" ca="1" si="15"/>
        <v>3</v>
      </c>
      <c r="AO8" s="39">
        <f t="shared" ca="1" si="15"/>
        <v>1</v>
      </c>
      <c r="AP8" s="39">
        <f t="shared" ca="1" si="15"/>
        <v>0</v>
      </c>
      <c r="AQ8" s="39">
        <f t="shared" ca="1" si="15"/>
        <v>2</v>
      </c>
      <c r="AR8" s="39">
        <f t="shared" ca="1" si="15"/>
        <v>1</v>
      </c>
      <c r="AS8" s="39">
        <f t="shared" ca="1" si="15"/>
        <v>3</v>
      </c>
      <c r="AT8" s="43">
        <f t="shared" ca="1" si="15"/>
        <v>-2</v>
      </c>
      <c r="AU8" s="330">
        <f ca="1">INDEX($DL$6:$DL$53,MATCH(AI8,$DP$6:$DP$53,0))</f>
        <v>1</v>
      </c>
      <c r="AV8" s="182" t="str">
        <f ca="1">INDEX($BD$6:$BD$53,MATCH(AI8,$BM$6:$BM$53,0))</f>
        <v>South Korea</v>
      </c>
      <c r="AW8" s="210"/>
      <c r="AX8" s="171"/>
      <c r="AY8" s="201" t="str">
        <f ca="1">+A7</f>
        <v>South Korea</v>
      </c>
      <c r="AZ8" s="202"/>
      <c r="BA8" s="176"/>
      <c r="BC8" s="16" t="str">
        <f ca="1">+INDEX(T_Equipos[Grupo],MATCH(WORLDCUP!BD8,T_Equipos[NombreEquipo],0))</f>
        <v>A</v>
      </c>
      <c r="BD8" s="16" t="str">
        <f ca="1">+Equipos!B4</f>
        <v>South Korea</v>
      </c>
      <c r="BE8" s="16">
        <f t="shared" ca="1" si="16"/>
        <v>3</v>
      </c>
      <c r="BF8" s="16">
        <f t="shared" ca="1" si="41"/>
        <v>3</v>
      </c>
      <c r="BG8" s="16">
        <f t="shared" ca="1" si="17"/>
        <v>1</v>
      </c>
      <c r="BH8" s="16">
        <f t="shared" ca="1" si="18"/>
        <v>0</v>
      </c>
      <c r="BI8" s="16">
        <f t="shared" ca="1" si="19"/>
        <v>2</v>
      </c>
      <c r="BJ8" s="16">
        <f t="shared" ca="1" si="20"/>
        <v>1</v>
      </c>
      <c r="BK8" s="16">
        <f t="shared" ca="1" si="21"/>
        <v>3</v>
      </c>
      <c r="BL8" s="16">
        <f t="shared" ca="1" si="42"/>
        <v>-2</v>
      </c>
      <c r="BM8" s="16" t="str">
        <f t="shared" ca="1" si="22"/>
        <v>3A</v>
      </c>
      <c r="BN8" s="16" t="str">
        <f t="shared" ca="1" si="23"/>
        <v>3A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3</v>
      </c>
      <c r="BS8" s="16">
        <f ca="1">BP8+COUNTIFS($BQ$6:$BQ$53,BQ8,$BR$6:BR$53,"&gt;"&amp;BR8,$BC$6:$BC$53,INDEX(T_Equipos[Grupo],MATCH(BD8,T_Equipos[NombreEquipo],0)))</f>
        <v>3</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3</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3</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3</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3</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3</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3</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3</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3</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3</v>
      </c>
      <c r="DE8" s="16"/>
      <c r="DF8" s="16">
        <f t="shared" ca="1" si="45"/>
        <v>3</v>
      </c>
      <c r="DG8" s="16" t="str">
        <f ca="1">IF(DB8="-","-",COUNTIFS(DF$6:DF$53,"&lt;"&amp;DF8,$BC$6:$BC$53,INDEX(T_Equipos[Grupo],MATCH(BD8,T_Equipos[NombreEquipo],0))))</f>
        <v>-</v>
      </c>
      <c r="DH8" s="16">
        <f ca="1">DA8+COUNTIFS(DB$6:DB$53,DB8,DG$6:DG$53,"&lt;"&amp;DG8,$BC$6:$BC$53,INDEX(T_Equipos[Grupo],MATCH(BD8,T_Equipos[NombreEquipo],0)))</f>
        <v>3</v>
      </c>
      <c r="DI8" s="16"/>
      <c r="DJ8" s="16">
        <f t="shared" ca="1" si="38"/>
        <v>3</v>
      </c>
      <c r="DK8" s="16">
        <f t="shared" ca="1" si="39"/>
        <v>12</v>
      </c>
      <c r="DL8" s="16">
        <f t="shared" ca="1" si="40"/>
        <v>1</v>
      </c>
      <c r="DM8" s="16" t="str">
        <f t="shared" ca="1" si="46"/>
        <v>3.1</v>
      </c>
      <c r="DN8" s="16" cm="1">
        <f t="array" aca="1" ref="DN8" ca="1">OFFSET(Horarios!$P$3,DJ8-1,0,DL8,1)</f>
        <v>3</v>
      </c>
      <c r="DO8" s="16"/>
      <c r="DP8" s="16" t="s">
        <v>86</v>
      </c>
      <c r="DQ8" s="16" t="str">
        <f t="shared" ca="1" si="47"/>
        <v>South Korea</v>
      </c>
    </row>
    <row r="9" spans="1:121" ht="15.95"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9"/>
      <c r="X9" s="28">
        <f ca="1">Horarios!C9</f>
        <v>46198.125</v>
      </c>
      <c r="Y9" s="29">
        <f ca="1">Horarios!C9</f>
        <v>46198.125</v>
      </c>
      <c r="Z9" s="30" t="str">
        <f>$Z$8</f>
        <v>R3</v>
      </c>
      <c r="AA9" s="31" t="str">
        <f ca="1">A6</f>
        <v>South Africa</v>
      </c>
      <c r="AB9" s="52" t="e" cm="1" vm="2">
        <f t="array" aca="1" ref="AB9" ca="1">Ver_flag_local</f>
        <v>#VALUE!</v>
      </c>
      <c r="AC9" s="53">
        <v>0</v>
      </c>
      <c r="AD9" s="54">
        <v>1</v>
      </c>
      <c r="AE9" s="596" t="e" cm="1" vm="3">
        <f t="array" aca="1" ref="AE9" ca="1">Ver_flag_visit</f>
        <v>#VALUE!</v>
      </c>
      <c r="AF9" s="33" t="str">
        <f ca="1">A7</f>
        <v>South Korea</v>
      </c>
      <c r="AG9" s="323">
        <f t="shared" si="13"/>
        <v>1</v>
      </c>
      <c r="AH9" s="195">
        <v>54</v>
      </c>
      <c r="AI9" s="181" t="str">
        <f>AJ9&amp;$B$4</f>
        <v>4A</v>
      </c>
      <c r="AJ9" s="44">
        <v>4</v>
      </c>
      <c r="AK9" s="599" t="e" cm="1" vm="2">
        <f t="array" aca="1" ref="AK9" ca="1">Ver_flag_visit</f>
        <v>#VALUE!</v>
      </c>
      <c r="AL9" s="45" t="str">
        <f ca="1">IFERROR(INDEX($BD$6:$BD$53,MATCH(AI9,$BN$6:$BN$53,0)),"")</f>
        <v>South Africa</v>
      </c>
      <c r="AM9" s="46">
        <f t="shared" ca="1" si="15"/>
        <v>0</v>
      </c>
      <c r="AN9" s="47">
        <f t="shared" ca="1" si="15"/>
        <v>3</v>
      </c>
      <c r="AO9" s="47">
        <f t="shared" ca="1" si="15"/>
        <v>0</v>
      </c>
      <c r="AP9" s="47">
        <f t="shared" ca="1" si="15"/>
        <v>0</v>
      </c>
      <c r="AQ9" s="47">
        <f t="shared" ca="1" si="15"/>
        <v>3</v>
      </c>
      <c r="AR9" s="47">
        <f t="shared" ca="1" si="15"/>
        <v>0</v>
      </c>
      <c r="AS9" s="47">
        <f t="shared" ca="1" si="15"/>
        <v>3</v>
      </c>
      <c r="AT9" s="48">
        <f t="shared" ca="1" si="15"/>
        <v>-3</v>
      </c>
      <c r="AU9" s="330">
        <f ca="1">INDEX($DL$6:$DL$53,MATCH(AI9,$DP$6:$DP$53,0))</f>
        <v>1</v>
      </c>
      <c r="AV9" s="182" t="str">
        <f ca="1">INDEX($BD$6:$BD$53,MATCH(AI9,$BM$6:$BM$53,0))</f>
        <v>South Africa</v>
      </c>
      <c r="AW9" s="210"/>
      <c r="AX9" s="171"/>
      <c r="AY9" s="205" t="str">
        <f ca="1">+A8</f>
        <v>Czech Republic</v>
      </c>
      <c r="AZ9" s="206"/>
      <c r="BA9" s="176"/>
      <c r="BC9" s="16" t="str">
        <f ca="1">+INDEX(T_Equipos[Grupo],MATCH(WORLDCUP!BD9,T_Equipos[NombreEquipo],0))</f>
        <v>A</v>
      </c>
      <c r="BD9" s="16" t="str">
        <f ca="1">+Equipos!B5</f>
        <v>Czech Republic</v>
      </c>
      <c r="BE9" s="16">
        <f t="shared" ca="1" si="16"/>
        <v>7</v>
      </c>
      <c r="BF9" s="16">
        <f t="shared" ca="1" si="41"/>
        <v>3</v>
      </c>
      <c r="BG9" s="16">
        <f t="shared" ca="1" si="17"/>
        <v>2</v>
      </c>
      <c r="BH9" s="16">
        <f t="shared" ca="1" si="18"/>
        <v>1</v>
      </c>
      <c r="BI9" s="16">
        <f t="shared" ca="1" si="19"/>
        <v>0</v>
      </c>
      <c r="BJ9" s="16">
        <f t="shared" ca="1" si="20"/>
        <v>3</v>
      </c>
      <c r="BK9" s="16">
        <f t="shared" ca="1" si="21"/>
        <v>1</v>
      </c>
      <c r="BL9" s="16">
        <f t="shared" ca="1" si="42"/>
        <v>2</v>
      </c>
      <c r="BM9" s="16" t="str">
        <f t="shared" ca="1" si="22"/>
        <v>2A</v>
      </c>
      <c r="BN9" s="16" t="str">
        <f t="shared" ca="1" si="23"/>
        <v>2A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7</v>
      </c>
      <c r="BS9" s="16">
        <f ca="1">BP9+COUNTIFS($BQ$6:$BQ$53,BQ9,$BR$6:BR$53,"&gt;"&amp;BR9,$BC$6:$BC$53,INDEX(T_Equipos[Grupo],MATCH(BD9,T_Equipos[NombreEquipo],0)))</f>
        <v>1</v>
      </c>
      <c r="BT9" s="16" t="str">
        <f ca="1">IF(COUNTIFS($BS$6:$BS$53,BS9,$BC$6:$BC$53,INDEX(T_Equipos[Grupo],MATCH(BD9,T_Equipos[NombreEquipo],0)))=1,"-","P."&amp;BS9&amp;" ("&amp;COUNTIFS($BS$6:$BS$53,BS9,$BC$6:$BC$53,INDEX(T_Equipos[Grupo],MATCH(BD9,T_Equipos[NombreEquipo],0)))&amp;")")</f>
        <v>P.1 (2)</v>
      </c>
      <c r="BU9" s="16">
        <f t="shared" ca="1" si="24"/>
        <v>0</v>
      </c>
      <c r="BV9" s="16">
        <f t="shared" ca="1" si="25"/>
        <v>1</v>
      </c>
      <c r="BW9" s="16">
        <f t="shared" ca="1" si="26"/>
        <v>0</v>
      </c>
      <c r="BX9" s="16">
        <f ca="1">IF($BT9="-","-",BU9*3+BV9)</f>
        <v>1</v>
      </c>
      <c r="BY9" s="16">
        <f ca="1">BS9+COUNTIFS($BT$6:$BT$53,BT9,$BX$6:BX$53,"&gt;"&amp;BX9,$BC$6:$BC$53,INDEX(T_Equipos[Grupo],MATCH(BD9,T_Equipos[NombreEquipo],0)))</f>
        <v>1</v>
      </c>
      <c r="BZ9" s="16" t="str">
        <f ca="1">IF(COUNTIFS($BY$6:$BY$53,BY9,$BC$6:$BC$53,INDEX(T_Equipos[Grupo],MATCH(BD9,T_Equipos[NombreEquipo],0)))=1,"-","P."&amp;BY9&amp;" ("&amp;COUNTIFS($BY$6:$BY$53,BY9,$BC$6:$BC$53,INDEX(T_Equipos[Grupo],MATCH(BD9,T_Equipos[NombreEquipo],0)))&amp;")")</f>
        <v>P.1 (2)</v>
      </c>
      <c r="CA9" s="16">
        <f t="shared" ca="1" si="27"/>
        <v>1</v>
      </c>
      <c r="CB9" s="16">
        <f t="shared" ca="1" si="28"/>
        <v>1</v>
      </c>
      <c r="CC9" s="16">
        <f ca="1">IF($BZ9="-","-",CA9-CB9)</f>
        <v>0</v>
      </c>
      <c r="CD9" s="16">
        <f ca="1">BY9+COUNTIFS($BZ$6:$BZ$53,BZ9,$CC$6:CC$53,"&gt;"&amp;CC9,$BC$6:$BC$53,INDEX(T_Equipos[Grupo],MATCH(BD9,T_Equipos[NombreEquipo],0)))</f>
        <v>1</v>
      </c>
      <c r="CE9" s="16" t="str">
        <f ca="1">IF(COUNTIFS($CD$6:$CD$53,CD9,$BC$6:$BC$53,INDEX(T_Equipos[Grupo],MATCH(BD9,T_Equipos[NombreEquipo],0)))=1,"-","P."&amp;CD9&amp;" ("&amp;COUNTIFS($CD$6:$CD$53,CD9,$BC$6:$BC$53,INDEX(T_Equipos[Grupo],MATCH(BD9,T_Equipos[NombreEquipo],0)))&amp;")")</f>
        <v>P.1 (2)</v>
      </c>
      <c r="CF9" s="16">
        <f t="shared" ca="1" si="29"/>
        <v>1</v>
      </c>
      <c r="CG9" s="16">
        <f ca="1">CD9+COUNTIFS($CE$6:$CE$53,CE9,$CF$6:CF$53,"&gt;"&amp;CF9,$BC$6:$BC$53,INDEX(T_Equipos[Grupo],MATCH(BD9,T_Equipos[NombreEquipo],0)))</f>
        <v>1</v>
      </c>
      <c r="CH9" s="16" t="str">
        <f ca="1">IF(COUNTIFS($CG$6:$CG$53,CG9,$BC$6:$BC$53,INDEX(T_Equipos[Grupo],MATCH(BD9,T_Equipos[NombreEquipo],0)))=1,"-","P."&amp;CG9&amp;" ("&amp;COUNTIFS($CG$6:$CG$53,CG9,$BC$6:$BC$53,INDEX(T_Equipos[Grupo],MATCH(BD9,T_Equipos[NombreEquipo],0)))&amp;")")</f>
        <v>P.1 (2)</v>
      </c>
      <c r="CI9" s="16">
        <f t="shared" ca="1" si="30"/>
        <v>0</v>
      </c>
      <c r="CJ9" s="16">
        <f t="shared" ca="1" si="31"/>
        <v>1</v>
      </c>
      <c r="CK9" s="16">
        <f t="shared" ca="1" si="32"/>
        <v>0</v>
      </c>
      <c r="CL9" s="16">
        <f ca="1">IF($CH9="-","-",CI9*3+CJ9)</f>
        <v>1</v>
      </c>
      <c r="CM9" s="16">
        <f ca="1">CG9+COUNTIFS($CH$6:$CH$53,CH9,$CL$6:CL$53,"&gt;"&amp;CL9,$BC$6:$BC$53,INDEX(T_Equipos[Grupo],MATCH(BD9,T_Equipos[NombreEquipo],0)))</f>
        <v>1</v>
      </c>
      <c r="CN9" s="16" t="str">
        <f ca="1">IF(COUNTIFS($CM$6:$CM$53,CM9,$BC$6:$BC$53,INDEX(T_Equipos[Grupo],MATCH(BD9,T_Equipos[NombreEquipo],0)))=1,"-","P."&amp;CM9&amp;" ("&amp;COUNTIFS($CM$6:$CM$53,CM9,$BC$6:$BC$53,INDEX(T_Equipos[Grupo],MATCH(BD9,T_Equipos[NombreEquipo],0)))&amp;")")</f>
        <v>P.1 (2)</v>
      </c>
      <c r="CO9" s="16">
        <f t="shared" ca="1" si="33"/>
        <v>1</v>
      </c>
      <c r="CP9" s="16">
        <f t="shared" ca="1" si="34"/>
        <v>1</v>
      </c>
      <c r="CQ9" s="16">
        <f ca="1">IF($CN9="-","-",CO9-CP9)</f>
        <v>0</v>
      </c>
      <c r="CR9" s="16">
        <f ca="1">CM9+COUNTIFS($CN$6:$CN$53,CN9,$CQ$6:CQ$53,"&gt;"&amp;CQ9,$BC$6:$BC$53,INDEX(T_Equipos[Grupo],MATCH(BD9,T_Equipos[NombreEquipo],0)))</f>
        <v>1</v>
      </c>
      <c r="CS9" s="16" t="str">
        <f ca="1">IF(COUNTIFS($CR$6:$CR$53,CR9,$BC$6:$BC$53,INDEX(T_Equipos[Grupo],MATCH(BD9,T_Equipos[NombreEquipo],0)))=1,"-","P."&amp;CR9&amp;" ("&amp;COUNTIFS($CR$6:$CR$53,CR9,$BC$6:$BC$53,INDEX(T_Equipos[Grupo],MATCH(BD9,T_Equipos[NombreEquipo],0)))&amp;")")</f>
        <v>P.1 (2)</v>
      </c>
      <c r="CT9" s="16">
        <f t="shared" ca="1" si="35"/>
        <v>1</v>
      </c>
      <c r="CU9" s="16">
        <f ca="1">CR9+COUNTIFS($CS$6:$CS$53,CS9,$CT$6:CT$53,"&gt;"&amp;CT9,$BC$6:$BC$53,INDEX(T_Equipos[Grupo],MATCH(BD9,T_Equipos[NombreEquipo],0)))</f>
        <v>1</v>
      </c>
      <c r="CV9" s="16" t="str">
        <f ca="1">IF(COUNTIFS($CU$6:$CU$53,CU9,$BC$6:$BC$53,INDEX(T_Equipos[Grupo],MATCH(BD9,T_Equipos[NombreEquipo],0)))=1,"-","P."&amp;CU9&amp;" ("&amp;COUNTIFS($CU$6:$CU$53,CU9,$BC$6:$BC$53,INDEX(T_Equipos[Grupo],MATCH(BD9,T_Equipos[NombreEquipo],0)))&amp;")")</f>
        <v>P.1 (2)</v>
      </c>
      <c r="CW9" s="16">
        <f t="shared" ca="1" si="36"/>
        <v>2</v>
      </c>
      <c r="CX9" s="16">
        <f ca="1">CU9+COUNTIFS($CV$6:$CV$53,CV9,$CW$6:CW$53,"&gt;"&amp;CW9,$BC$6:$BC$53,INDEX(T_Equipos[Grupo],MATCH(BD9,T_Equipos[NombreEquipo],0)))</f>
        <v>2</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2</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2</v>
      </c>
      <c r="DE9" s="16"/>
      <c r="DF9" s="16">
        <f t="shared" ca="1" si="45"/>
        <v>2</v>
      </c>
      <c r="DG9" s="16" t="str">
        <f ca="1">IF(DB9="-","-",COUNTIFS(DF$6:DF$53,"&lt;"&amp;DF9,$BC$6:$BC$53,INDEX(T_Equipos[Grupo],MATCH(BD9,T_Equipos[NombreEquipo],0))))</f>
        <v>-</v>
      </c>
      <c r="DH9" s="16">
        <f ca="1">DA9+COUNTIFS(DB$6:DB$53,DB9,DG$6:DG$53,"&lt;"&amp;DG9,$BC$6:$BC$53,INDEX(T_Equipos[Grupo],MATCH(BD9,T_Equipos[NombreEquipo],0)))</f>
        <v>2</v>
      </c>
      <c r="DI9" s="16"/>
      <c r="DJ9" s="16">
        <f t="shared" ca="1" si="38"/>
        <v>4</v>
      </c>
      <c r="DK9" s="16">
        <f t="shared" ca="1" si="39"/>
        <v>12</v>
      </c>
      <c r="DL9" s="16">
        <f t="shared" ca="1" si="40"/>
        <v>1</v>
      </c>
      <c r="DM9" s="16" t="str">
        <f t="shared" ca="1" si="46"/>
        <v>4.1</v>
      </c>
      <c r="DN9" s="16" cm="1">
        <f t="array" aca="1" ref="DN9" ca="1">OFFSET(Horarios!$P$3,DJ9-1,0,DL9,1)</f>
        <v>4</v>
      </c>
      <c r="DO9" s="16"/>
      <c r="DP9" s="16" t="s">
        <v>87</v>
      </c>
      <c r="DQ9" s="16" t="str">
        <f t="shared" ca="1" si="47"/>
        <v>South Africa</v>
      </c>
    </row>
    <row r="10" spans="1:121" ht="15.95"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5</v>
      </c>
      <c r="BK10" s="16">
        <f t="shared" ca="1" si="21"/>
        <v>2</v>
      </c>
      <c r="BL10" s="16">
        <f t="shared" ca="1" si="42"/>
        <v>3</v>
      </c>
      <c r="BM10" s="16" t="str">
        <f t="shared" ca="1" si="22"/>
        <v>1B</v>
      </c>
      <c r="BN10" s="16" t="str">
        <f t="shared" ca="1" si="23"/>
        <v>1B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v>
      </c>
      <c r="BU10" s="16" t="str">
        <f t="shared" ca="1" si="24"/>
        <v>-</v>
      </c>
      <c r="BV10" s="16" t="str">
        <f t="shared" ca="1" si="25"/>
        <v>-</v>
      </c>
      <c r="BW10" s="16" t="str">
        <f t="shared" ca="1" si="26"/>
        <v>-</v>
      </c>
      <c r="BX10" s="16" t="str">
        <f t="shared" ref="BX10:BX53" ca="1" si="48">IF($BT10="-","-",BU10*3+BV10)</f>
        <v>-</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v>
      </c>
      <c r="CA10" s="16" t="str">
        <f t="shared" ca="1" si="27"/>
        <v>-</v>
      </c>
      <c r="CB10" s="16" t="str">
        <f t="shared" ca="1" si="28"/>
        <v>-</v>
      </c>
      <c r="CC10" s="16" t="str">
        <f t="shared" ref="CC10:CC53" ca="1" si="49">IF($BZ10="-","-",CA10-CB10)</f>
        <v>-</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v>
      </c>
      <c r="CF10" s="16" t="str">
        <f t="shared" ca="1" si="29"/>
        <v>-</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v>
      </c>
      <c r="CI10" s="16" t="str">
        <f t="shared" ca="1" si="30"/>
        <v>-</v>
      </c>
      <c r="CJ10" s="16" t="str">
        <f t="shared" ca="1" si="31"/>
        <v>-</v>
      </c>
      <c r="CK10" s="16" t="str">
        <f t="shared" ca="1" si="32"/>
        <v>-</v>
      </c>
      <c r="CL10" s="16" t="str">
        <f t="shared" ref="CL10:CL53" ca="1" si="50">IF($CH10="-","-",CI10*3+CJ10)</f>
        <v>-</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v>
      </c>
      <c r="CO10" s="16" t="str">
        <f t="shared" ca="1" si="33"/>
        <v>-</v>
      </c>
      <c r="CP10" s="16" t="str">
        <f t="shared" ca="1" si="34"/>
        <v>-</v>
      </c>
      <c r="CQ10" s="16" t="str">
        <f t="shared" ref="CQ10:CQ53" ca="1" si="51">IF($CN10="-","-",CO10-CP10)</f>
        <v>-</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v>
      </c>
      <c r="CT10" s="16" t="str">
        <f t="shared" ca="1" si="35"/>
        <v>-</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v>
      </c>
      <c r="CW10" s="16" t="str">
        <f t="shared" ca="1" si="36"/>
        <v>-</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v>
      </c>
      <c r="CZ10" s="16" t="str">
        <f t="shared" ca="1" si="37"/>
        <v>-</v>
      </c>
      <c r="DA10" s="16">
        <f ca="1">CX10+COUNTIFS($CY$6:$CY$53,CY10,$CZ$6:CZ$53,"&gt;"&amp;CZ10,$BC$6:$BC$53,INDEX(T_Equipos[Grupo],MATCH(BD10,T_Equipos[NombreEquipo],0)))</f>
        <v>1</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1</v>
      </c>
      <c r="DE10" s="16"/>
      <c r="DF10" s="16">
        <f t="shared" ref="DF10:DF53" ca="1" si="52">IF(OR(INDEX($AW$6:$AW$97,MATCH($BD10,$AV$6:$AV$97,0))="",DB10="-"),DD10,INDEX($AW$6:$AW$97,MATCH($BD10,$AV$6:$AV$97,0))+DD10/1000)</f>
        <v>1</v>
      </c>
      <c r="DG10" s="16" t="str">
        <f ca="1">IF(DB10="-","-",COUNTIFS(DF$6:DF$53,"&lt;"&amp;DF10,$BC$6:$BC$53,INDEX(T_Equipos[Grupo],MATCH(BD10,T_Equipos[NombreEquipo],0))))</f>
        <v>-</v>
      </c>
      <c r="DH10" s="16">
        <f ca="1">DA10+COUNTIFS(DB$6:DB$53,DB10,DG$6:DG$53,"&lt;"&amp;DG10,$BC$6:$BC$53,INDEX(T_Equipos[Grupo],MATCH(BD10,T_Equipos[NombreEquipo],0)))</f>
        <v>1</v>
      </c>
      <c r="DI10" s="16"/>
      <c r="DJ10" s="16">
        <f t="shared" ca="1" si="38"/>
        <v>1</v>
      </c>
      <c r="DK10" s="16">
        <f t="shared" ca="1" si="39"/>
        <v>12</v>
      </c>
      <c r="DL10" s="16">
        <f t="shared" ca="1" si="40"/>
        <v>1</v>
      </c>
      <c r="DM10" s="16" t="str">
        <f t="shared" ca="1" si="46"/>
        <v>1.1</v>
      </c>
      <c r="DN10" s="16" cm="1">
        <f t="array" aca="1" ref="DN10" ca="1">OFFSET(Horarios!$P$3,DJ10-1,0,DL10,1)</f>
        <v>1</v>
      </c>
      <c r="DO10" s="16"/>
      <c r="DP10" s="16" t="s">
        <v>88</v>
      </c>
      <c r="DQ10" s="16" t="str">
        <f t="shared" ca="1" si="47"/>
        <v>Canada</v>
      </c>
    </row>
    <row r="11" spans="1:121" ht="15.95"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4</v>
      </c>
      <c r="BF11" s="16">
        <f t="shared" ca="1" si="41"/>
        <v>3</v>
      </c>
      <c r="BG11" s="16">
        <f t="shared" ca="1" si="17"/>
        <v>1</v>
      </c>
      <c r="BH11" s="16">
        <f t="shared" ca="1" si="18"/>
        <v>1</v>
      </c>
      <c r="BI11" s="16">
        <f t="shared" ca="1" si="19"/>
        <v>1</v>
      </c>
      <c r="BJ11" s="16">
        <f t="shared" ca="1" si="20"/>
        <v>3</v>
      </c>
      <c r="BK11" s="16">
        <f t="shared" ca="1" si="21"/>
        <v>3</v>
      </c>
      <c r="BL11" s="16">
        <f t="shared" ca="1" si="42"/>
        <v>0</v>
      </c>
      <c r="BM11" s="16" t="str">
        <f t="shared" ca="1" si="22"/>
        <v>2B</v>
      </c>
      <c r="BN11" s="16" t="str">
        <f t="shared" ca="1" si="23"/>
        <v>2B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4</v>
      </c>
      <c r="BS11" s="16">
        <f ca="1">BP11+COUNTIFS($BQ$6:$BQ$53,BQ11,$BR$6:BR$53,"&gt;"&amp;BR11,$BC$6:$BC$53,INDEX(T_Equipos[Grupo],MATCH(BD11,T_Equipos[NombreEquipo],0)))</f>
        <v>2</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2</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2</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2</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2</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2</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2</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2</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2</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2</v>
      </c>
      <c r="DE11" s="16"/>
      <c r="DF11" s="16">
        <f t="shared" ca="1" si="52"/>
        <v>2</v>
      </c>
      <c r="DG11" s="16" t="str">
        <f ca="1">IF(DB11="-","-",COUNTIFS(DF$6:DF$53,"&lt;"&amp;DF11,$BC$6:$BC$53,INDEX(T_Equipos[Grupo],MATCH(BD11,T_Equipos[NombreEquipo],0))))</f>
        <v>-</v>
      </c>
      <c r="DH11" s="16">
        <f ca="1">DA11+COUNTIFS(DB$6:DB$53,DB11,DG$6:DG$53,"&lt;"&amp;DG11,$BC$6:$BC$53,INDEX(T_Equipos[Grupo],MATCH(BD11,T_Equipos[NombreEquipo],0)))</f>
        <v>2</v>
      </c>
      <c r="DI11" s="16"/>
      <c r="DJ11" s="16">
        <f t="shared" ca="1" si="38"/>
        <v>2</v>
      </c>
      <c r="DK11" s="16">
        <f t="shared" ca="1" si="39"/>
        <v>12</v>
      </c>
      <c r="DL11" s="16">
        <f t="shared" ca="1" si="40"/>
        <v>1</v>
      </c>
      <c r="DM11" s="16" t="str">
        <f t="shared" ca="1" si="46"/>
        <v>2.1</v>
      </c>
      <c r="DN11" s="16" cm="1">
        <f t="array" aca="1" ref="DN11" ca="1">OFFSET(Horarios!$P$3,DJ11-1,0,DL11,1)</f>
        <v>2</v>
      </c>
      <c r="DO11" s="16"/>
      <c r="DP11" s="16" t="s">
        <v>89</v>
      </c>
      <c r="DQ11" s="16" t="str">
        <f t="shared" ca="1" si="47"/>
        <v>Bosnia and Herzegovina</v>
      </c>
    </row>
    <row r="12" spans="1:121" ht="15.95" customHeight="1" thickBot="1">
      <c r="A12" s="16" t="s">
        <v>29</v>
      </c>
      <c r="B12" s="16" t="s">
        <v>90</v>
      </c>
      <c r="C12" s="16">
        <f>COUNTIF(Equipos!$C$2:$C$49,WORLDCUP!B12)</f>
        <v>4</v>
      </c>
      <c r="D12" s="16" t="str">
        <f t="shared" ref="D12:D17" si="53">IF(OR(AC12="",AD12=""),"Pendiente",IF(AC12&gt;AD12,"Local",IF(AC12&lt;AD12,"Visitante","Empate")))</f>
        <v>Local</v>
      </c>
      <c r="E12" s="16" t="str">
        <f t="shared" ref="E12:E17" ca="1" si="54">IF(D12="Pendiente","-",INDEX($BT$6:$BT$53,MATCH($AA12,$BD$6:$BD$53,0)))</f>
        <v>-</v>
      </c>
      <c r="F12" s="16" t="str">
        <f t="shared" ref="F12:F17" ca="1" si="55">IF(D12="Pendiente","-",INDEX($BT$6:$BT$53,MATCH($AF12,$BD$6:$BD$53,0)))</f>
        <v>-</v>
      </c>
      <c r="G12" s="16"/>
      <c r="H12" s="16" t="str">
        <f t="shared" ref="H12:H17" ca="1" si="56">IF(D12="Pendiente","-",INDEX($BZ$6:$BZ$53,MATCH($AA12,$BD$6:$BD$53,0)))</f>
        <v>-</v>
      </c>
      <c r="I12" s="16" t="str">
        <f t="shared" ref="I12:I17" ca="1" si="57">IF(D12="Pendiente","-",INDEX($BZ$6:$BZ$53,MATCH($AF12,$BD$6:$BD$53,0)))</f>
        <v>-</v>
      </c>
      <c r="J12" s="16"/>
      <c r="K12" s="16" t="str">
        <f t="shared" ref="K12:K17" ca="1" si="58">IF(D12="Pendiente","-",INDEX($CE$6:$CE$53,MATCH($AA12,$BD$6:$BD$53,0)))</f>
        <v>-</v>
      </c>
      <c r="L12" s="16" t="str">
        <f t="shared" ref="L12:L17" ca="1" si="59">IF(D12="Pendiente","-",INDEX($CE$6:$CE$53,MATCH($AF12,$BD$6:$BD$53,0)))</f>
        <v>-</v>
      </c>
      <c r="M12" s="16"/>
      <c r="N12" s="16" t="str">
        <f t="shared" ref="N12:N17" ca="1" si="60">IF(D12="Pendiente","-",INDEX($CH$6:$CH$53,MATCH($AA12,$BD$6:$BD$53,0)))</f>
        <v>-</v>
      </c>
      <c r="O12" s="16" t="str">
        <f t="shared" ref="O12:O17" ca="1" si="61">IF(D12="Pendiente","-",INDEX($CH$6:$CH$53,MATCH($AF12,$BD$6:$BD$53,0)))</f>
        <v>-</v>
      </c>
      <c r="P12" s="16"/>
      <c r="Q12" s="16" t="str">
        <f t="shared" ref="Q12:Q17" ca="1" si="62">IF(D12="Pendiente","-",INDEX($CN$6:$CN$53,MATCH($AA12,$BD$6:$BD$53,0)))</f>
        <v>-</v>
      </c>
      <c r="R12" s="16" t="str">
        <f t="shared" ref="R12:R17" ca="1" si="63">IF(D12="Pendiente","-",INDEX($CN$6:$CN$53,MATCH($AF12,$BD$6:$BD$53,0)))</f>
        <v>-</v>
      </c>
      <c r="S12" s="16"/>
      <c r="T12" s="16" t="str">
        <f t="shared" ref="T12:T17" ca="1" si="64">IF(D12="Pendiente","-",INDEX($CS$6:$CS$53,MATCH($AA12,$BD$6:$BD$53,0)))</f>
        <v>-</v>
      </c>
      <c r="U12" s="16" t="str">
        <f t="shared" ref="U12:U17" ca="1" si="65">IF(D12="Pendiente","-",INDEX($CS$6:$CS$53,MATCH($AF12,$BD$6:$BD$53,0)))</f>
        <v>-</v>
      </c>
      <c r="V12" s="17"/>
      <c r="W12" s="670" t="s">
        <v>90</v>
      </c>
      <c r="X12" s="24">
        <f ca="1">Horarios!C12</f>
        <v>46185.875</v>
      </c>
      <c r="Y12" s="25">
        <f ca="1">Horarios!C12</f>
        <v>46185.875</v>
      </c>
      <c r="Z12" s="26" t="str">
        <f>$Z$4</f>
        <v>R1</v>
      </c>
      <c r="AA12" s="27" t="str">
        <f ca="1">A13</f>
        <v>Canada</v>
      </c>
      <c r="AB12" s="49" t="e" cm="1" vm="5">
        <f t="array" aca="1" ref="AB12" ca="1">Ver_flag_local</f>
        <v>#VALUE!</v>
      </c>
      <c r="AC12" s="50">
        <v>2</v>
      </c>
      <c r="AD12" s="51">
        <v>1</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1</v>
      </c>
      <c r="BF12" s="16">
        <f t="shared" ca="1" si="41"/>
        <v>3</v>
      </c>
      <c r="BG12" s="16">
        <f t="shared" ca="1" si="17"/>
        <v>0</v>
      </c>
      <c r="BH12" s="16">
        <f t="shared" ca="1" si="18"/>
        <v>1</v>
      </c>
      <c r="BI12" s="16">
        <f t="shared" ca="1" si="19"/>
        <v>2</v>
      </c>
      <c r="BJ12" s="16">
        <f t="shared" ca="1" si="20"/>
        <v>1</v>
      </c>
      <c r="BK12" s="16">
        <f t="shared" ca="1" si="21"/>
        <v>4</v>
      </c>
      <c r="BL12" s="16">
        <f t="shared" ca="1" si="42"/>
        <v>-3</v>
      </c>
      <c r="BM12" s="16" t="str">
        <f t="shared" ca="1" si="22"/>
        <v>4B</v>
      </c>
      <c r="BN12" s="16" t="str">
        <f t="shared" ca="1" si="23"/>
        <v>4B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1</v>
      </c>
      <c r="BS12" s="16">
        <f ca="1">BP12+COUNTIFS($BQ$6:$BQ$53,BQ12,$BR$6:BR$53,"&gt;"&amp;BR12,$BC$6:$BC$53,INDEX(T_Equipos[Grupo],MATCH(BD12,T_Equipos[NombreEquipo],0)))</f>
        <v>4</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4</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4</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4</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4</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4</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4</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4</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4</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4</v>
      </c>
      <c r="DE12" s="16"/>
      <c r="DF12" s="16">
        <f t="shared" ca="1" si="52"/>
        <v>4</v>
      </c>
      <c r="DG12" s="16" t="str">
        <f ca="1">IF(DB12="-","-",COUNTIFS(DF$6:DF$53,"&lt;"&amp;DF12,$BC$6:$BC$53,INDEX(T_Equipos[Grupo],MATCH(BD12,T_Equipos[NombreEquipo],0))))</f>
        <v>-</v>
      </c>
      <c r="DH12" s="16">
        <f ca="1">DA12+COUNTIFS(DB$6:DB$53,DB12,DG$6:DG$53,"&lt;"&amp;DG12,$BC$6:$BC$53,INDEX(T_Equipos[Grupo],MATCH(BD12,T_Equipos[NombreEquipo],0)))</f>
        <v>4</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Switzerland</v>
      </c>
    </row>
    <row r="13" spans="1:121" ht="15.95" customHeight="1">
      <c r="A13" s="16" t="str">
        <f ca="1">+Equipos!B6</f>
        <v>Canada</v>
      </c>
      <c r="B13" s="16"/>
      <c r="C13" s="16"/>
      <c r="D13" s="16" t="str">
        <f t="shared" si="53"/>
        <v>Empate</v>
      </c>
      <c r="E13" s="16" t="str">
        <f t="shared" ca="1" si="54"/>
        <v>-</v>
      </c>
      <c r="F13" s="16" t="str">
        <f t="shared" ca="1" si="55"/>
        <v>-</v>
      </c>
      <c r="G13" s="16"/>
      <c r="H13" s="16" t="str">
        <f t="shared" ca="1" si="56"/>
        <v>-</v>
      </c>
      <c r="I13" s="16" t="str">
        <f t="shared" ca="1" si="57"/>
        <v>-</v>
      </c>
      <c r="J13" s="16"/>
      <c r="K13" s="16" t="str">
        <f t="shared" ca="1" si="58"/>
        <v>-</v>
      </c>
      <c r="L13" s="16" t="str">
        <f t="shared" ca="1" si="59"/>
        <v>-</v>
      </c>
      <c r="M13" s="16"/>
      <c r="N13" s="16" t="str">
        <f t="shared" ca="1" si="60"/>
        <v>-</v>
      </c>
      <c r="O13" s="16" t="str">
        <f t="shared" ca="1" si="61"/>
        <v>-</v>
      </c>
      <c r="P13" s="16"/>
      <c r="Q13" s="16" t="str">
        <f t="shared" ca="1" si="62"/>
        <v>-</v>
      </c>
      <c r="R13" s="16" t="str">
        <f t="shared" ca="1" si="63"/>
        <v>-</v>
      </c>
      <c r="S13" s="16"/>
      <c r="T13" s="16" t="str">
        <f t="shared" ca="1" si="64"/>
        <v>-</v>
      </c>
      <c r="U13" s="16" t="str">
        <f t="shared" ca="1" si="65"/>
        <v>-</v>
      </c>
      <c r="V13" s="17"/>
      <c r="W13" s="670"/>
      <c r="X13" s="24">
        <f ca="1">Horarios!C13</f>
        <v>46186.875</v>
      </c>
      <c r="Y13" s="25">
        <f ca="1">Horarios!C13</f>
        <v>46186.875</v>
      </c>
      <c r="Z13" s="26" t="str">
        <f>$Z$4</f>
        <v>R1</v>
      </c>
      <c r="AA13" s="27" t="str">
        <f ca="1">A15</f>
        <v>Qatar</v>
      </c>
      <c r="AB13" s="49" t="e" cm="1" vm="7">
        <f t="array" aca="1" ref="AB13" ca="1">Ver_flag_local</f>
        <v>#VALUE!</v>
      </c>
      <c r="AC13" s="50">
        <v>1</v>
      </c>
      <c r="AD13" s="51">
        <v>1</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3</v>
      </c>
      <c r="BF13" s="16">
        <f t="shared" ca="1" si="41"/>
        <v>3</v>
      </c>
      <c r="BG13" s="16">
        <f t="shared" ca="1" si="17"/>
        <v>0</v>
      </c>
      <c r="BH13" s="16">
        <f t="shared" ca="1" si="18"/>
        <v>3</v>
      </c>
      <c r="BI13" s="16">
        <f t="shared" ca="1" si="19"/>
        <v>0</v>
      </c>
      <c r="BJ13" s="16">
        <f t="shared" ca="1" si="20"/>
        <v>3</v>
      </c>
      <c r="BK13" s="16">
        <f t="shared" ca="1" si="21"/>
        <v>3</v>
      </c>
      <c r="BL13" s="16">
        <f t="shared" ca="1" si="42"/>
        <v>0</v>
      </c>
      <c r="BM13" s="16" t="str">
        <f t="shared" ca="1" si="22"/>
        <v>3B</v>
      </c>
      <c r="BN13" s="16" t="str">
        <f t="shared" ca="1" si="23"/>
        <v>3B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3</v>
      </c>
      <c r="BS13" s="16">
        <f ca="1">BP13+COUNTIFS($BQ$6:$BQ$53,BQ13,$BR$6:BR$53,"&gt;"&amp;BR13,$BC$6:$BC$53,INDEX(T_Equipos[Grupo],MATCH(BD13,T_Equipos[NombreEquipo],0)))</f>
        <v>3</v>
      </c>
      <c r="BT13" s="16" t="str">
        <f ca="1">IF(COUNTIFS($BS$6:$BS$53,BS13,$BC$6:$BC$53,INDEX(T_Equipos[Grupo],MATCH(BD13,T_Equipos[NombreEquipo],0)))=1,"-","P."&amp;BS13&amp;" ("&amp;COUNTIFS($BS$6:$BS$53,BS13,$BC$6:$BC$53,INDEX(T_Equipos[Grupo],MATCH(BD13,T_Equipos[NombreEquipo],0)))&amp;")")</f>
        <v>-</v>
      </c>
      <c r="BU13" s="16" t="str">
        <f t="shared" ca="1" si="24"/>
        <v>-</v>
      </c>
      <c r="BV13" s="16" t="str">
        <f t="shared" ca="1" si="25"/>
        <v>-</v>
      </c>
      <c r="BW13" s="16" t="str">
        <f t="shared" ca="1" si="26"/>
        <v>-</v>
      </c>
      <c r="BX13" s="16" t="str">
        <f t="shared" ca="1" si="48"/>
        <v>-</v>
      </c>
      <c r="BY13" s="16">
        <f ca="1">BS13+COUNTIFS($BT$6:$BT$53,BT13,$BX$6:BX$53,"&gt;"&amp;BX13,$BC$6:$BC$53,INDEX(T_Equipos[Grupo],MATCH(BD13,T_Equipos[NombreEquipo],0)))</f>
        <v>3</v>
      </c>
      <c r="BZ13" s="16" t="str">
        <f ca="1">IF(COUNTIFS($BY$6:$BY$53,BY13,$BC$6:$BC$53,INDEX(T_Equipos[Grupo],MATCH(BD13,T_Equipos[NombreEquipo],0)))=1,"-","P."&amp;BY13&amp;" ("&amp;COUNTIFS($BY$6:$BY$53,BY13,$BC$6:$BC$53,INDEX(T_Equipos[Grupo],MATCH(BD13,T_Equipos[NombreEquipo],0)))&amp;")")</f>
        <v>-</v>
      </c>
      <c r="CA13" s="16" t="str">
        <f t="shared" ca="1" si="27"/>
        <v>-</v>
      </c>
      <c r="CB13" s="16" t="str">
        <f t="shared" ca="1" si="28"/>
        <v>-</v>
      </c>
      <c r="CC13" s="16" t="str">
        <f t="shared" ca="1" si="49"/>
        <v>-</v>
      </c>
      <c r="CD13" s="16">
        <f ca="1">BY13+COUNTIFS($BZ$6:$BZ$53,BZ13,$CC$6:CC$53,"&gt;"&amp;CC13,$BC$6:$BC$53,INDEX(T_Equipos[Grupo],MATCH(BD13,T_Equipos[NombreEquipo],0)))</f>
        <v>3</v>
      </c>
      <c r="CE13" s="16" t="str">
        <f ca="1">IF(COUNTIFS($CD$6:$CD$53,CD13,$BC$6:$BC$53,INDEX(T_Equipos[Grupo],MATCH(BD13,T_Equipos[NombreEquipo],0)))=1,"-","P."&amp;CD13&amp;" ("&amp;COUNTIFS($CD$6:$CD$53,CD13,$BC$6:$BC$53,INDEX(T_Equipos[Grupo],MATCH(BD13,T_Equipos[NombreEquipo],0)))&amp;")")</f>
        <v>-</v>
      </c>
      <c r="CF13" s="16" t="str">
        <f t="shared" ca="1" si="29"/>
        <v>-</v>
      </c>
      <c r="CG13" s="16">
        <f ca="1">CD13+COUNTIFS($CE$6:$CE$53,CE13,$CF$6:CF$53,"&gt;"&amp;CF13,$BC$6:$BC$53,INDEX(T_Equipos[Grupo],MATCH(BD13,T_Equipos[NombreEquipo],0)))</f>
        <v>3</v>
      </c>
      <c r="CH13" s="16" t="str">
        <f ca="1">IF(COUNTIFS($CG$6:$CG$53,CG13,$BC$6:$BC$53,INDEX(T_Equipos[Grupo],MATCH(BD13,T_Equipos[NombreEquipo],0)))=1,"-","P."&amp;CG13&amp;" ("&amp;COUNTIFS($CG$6:$CG$53,CG13,$BC$6:$BC$53,INDEX(T_Equipos[Grupo],MATCH(BD13,T_Equipos[NombreEquipo],0)))&amp;")")</f>
        <v>-</v>
      </c>
      <c r="CI13" s="16" t="str">
        <f t="shared" ca="1" si="30"/>
        <v>-</v>
      </c>
      <c r="CJ13" s="16" t="str">
        <f t="shared" ca="1" si="31"/>
        <v>-</v>
      </c>
      <c r="CK13" s="16" t="str">
        <f t="shared" ca="1" si="32"/>
        <v>-</v>
      </c>
      <c r="CL13" s="16" t="str">
        <f t="shared" ca="1" si="50"/>
        <v>-</v>
      </c>
      <c r="CM13" s="16">
        <f ca="1">CG13+COUNTIFS($CH$6:$CH$53,CH13,$CL$6:CL$53,"&gt;"&amp;CL13,$BC$6:$BC$53,INDEX(T_Equipos[Grupo],MATCH(BD13,T_Equipos[NombreEquipo],0)))</f>
        <v>3</v>
      </c>
      <c r="CN13" s="16" t="str">
        <f ca="1">IF(COUNTIFS($CM$6:$CM$53,CM13,$BC$6:$BC$53,INDEX(T_Equipos[Grupo],MATCH(BD13,T_Equipos[NombreEquipo],0)))=1,"-","P."&amp;CM13&amp;" ("&amp;COUNTIFS($CM$6:$CM$53,CM13,$BC$6:$BC$53,INDEX(T_Equipos[Grupo],MATCH(BD13,T_Equipos[NombreEquipo],0)))&amp;")")</f>
        <v>-</v>
      </c>
      <c r="CO13" s="16" t="str">
        <f t="shared" ca="1" si="33"/>
        <v>-</v>
      </c>
      <c r="CP13" s="16" t="str">
        <f t="shared" ca="1" si="34"/>
        <v>-</v>
      </c>
      <c r="CQ13" s="16" t="str">
        <f t="shared" ca="1" si="51"/>
        <v>-</v>
      </c>
      <c r="CR13" s="16">
        <f ca="1">CM13+COUNTIFS($CN$6:$CN$53,CN13,$CQ$6:CQ$53,"&gt;"&amp;CQ13,$BC$6:$BC$53,INDEX(T_Equipos[Grupo],MATCH(BD13,T_Equipos[NombreEquipo],0)))</f>
        <v>3</v>
      </c>
      <c r="CS13" s="16" t="str">
        <f ca="1">IF(COUNTIFS($CR$6:$CR$53,CR13,$BC$6:$BC$53,INDEX(T_Equipos[Grupo],MATCH(BD13,T_Equipos[NombreEquipo],0)))=1,"-","P."&amp;CR13&amp;" ("&amp;COUNTIFS($CR$6:$CR$53,CR13,$BC$6:$BC$53,INDEX(T_Equipos[Grupo],MATCH(BD13,T_Equipos[NombreEquipo],0)))&amp;")")</f>
        <v>-</v>
      </c>
      <c r="CT13" s="16" t="str">
        <f t="shared" ca="1" si="35"/>
        <v>-</v>
      </c>
      <c r="CU13" s="16">
        <f ca="1">CR13+COUNTIFS($CS$6:$CS$53,CS13,$CT$6:CT$53,"&gt;"&amp;CT13,$BC$6:$BC$53,INDEX(T_Equipos[Grupo],MATCH(BD13,T_Equipos[NombreEquipo],0)))</f>
        <v>3</v>
      </c>
      <c r="CV13" s="16" t="str">
        <f ca="1">IF(COUNTIFS($CU$6:$CU$53,CU13,$BC$6:$BC$53,INDEX(T_Equipos[Grupo],MATCH(BD13,T_Equipos[NombreEquipo],0)))=1,"-","P."&amp;CU13&amp;" ("&amp;COUNTIFS($CU$6:$CU$53,CU13,$BC$6:$BC$53,INDEX(T_Equipos[Grupo],MATCH(BD13,T_Equipos[NombreEquipo],0)))&amp;")")</f>
        <v>-</v>
      </c>
      <c r="CW13" s="16" t="str">
        <f t="shared" ca="1" si="36"/>
        <v>-</v>
      </c>
      <c r="CX13" s="16">
        <f ca="1">CU13+COUNTIFS($CV$6:$CV$53,CV13,$CW$6:CW$53,"&gt;"&amp;CW13,$BC$6:$BC$53,INDEX(T_Equipos[Grupo],MATCH(BD13,T_Equipos[NombreEquipo],0)))</f>
        <v>3</v>
      </c>
      <c r="CY13" s="16" t="str">
        <f ca="1">IF(COUNTIFS($CX$6:$CX$53,CX13,$BC$6:$BC$53,INDEX(T_Equipos[Grupo],MATCH(BD13,T_Equipos[NombreEquipo],0)))=1,"-","P."&amp;CX13&amp;" ("&amp;COUNTIFS($CX$6:$CX$53,CX13,$BC$6:$BC$53,INDEX(T_Equipos[Grupo],MATCH(BD13,T_Equipos[NombreEquipo],0)))&amp;")")</f>
        <v>-</v>
      </c>
      <c r="CZ13" s="16" t="str">
        <f t="shared" ca="1" si="37"/>
        <v>-</v>
      </c>
      <c r="DA13" s="16">
        <f ca="1">CX13+COUNTIFS($CY$6:$CY$53,CY13,$CZ$6:CZ$53,"&gt;"&amp;CZ13,$BC$6:$BC$53,INDEX(T_Equipos[Grupo],MATCH(BD13,T_Equipos[NombreEquipo],0)))</f>
        <v>3</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3</v>
      </c>
      <c r="DE13" s="16"/>
      <c r="DF13" s="16">
        <f t="shared" ca="1" si="52"/>
        <v>3</v>
      </c>
      <c r="DG13" s="16" t="str">
        <f ca="1">IF(DB13="-","-",COUNTIFS(DF$6:DF$53,"&lt;"&amp;DF13,$BC$6:$BC$53,INDEX(T_Equipos[Grupo],MATCH(BD13,T_Equipos[NombreEquipo],0))))</f>
        <v>-</v>
      </c>
      <c r="DH13" s="16">
        <f ca="1">DA13+COUNTIFS(DB$6:DB$53,DB13,DG$6:DG$53,"&lt;"&amp;DG13,$BC$6:$BC$53,INDEX(T_Equipos[Grupo],MATCH(BD13,T_Equipos[NombreEquipo],0)))</f>
        <v>3</v>
      </c>
      <c r="DI13" s="16"/>
      <c r="DJ13" s="16">
        <f t="shared" ca="1" si="38"/>
        <v>4</v>
      </c>
      <c r="DK13" s="16">
        <f t="shared" ca="1" si="39"/>
        <v>12</v>
      </c>
      <c r="DL13" s="16">
        <f t="shared" ca="1" si="40"/>
        <v>1</v>
      </c>
      <c r="DM13" s="16" t="str">
        <f t="shared" ca="1" si="46"/>
        <v>4.1</v>
      </c>
      <c r="DN13" s="16" cm="1">
        <f t="array" aca="1" ref="DN13" ca="1">OFFSET(Horarios!$P$3,DJ13-1,0,DL13,1)</f>
        <v>4</v>
      </c>
      <c r="DO13" s="16"/>
      <c r="DP13" s="16" t="s">
        <v>92</v>
      </c>
      <c r="DQ13" s="16" t="str">
        <f t="shared" ca="1" si="47"/>
        <v>Qatar</v>
      </c>
    </row>
    <row r="14" spans="1:121" ht="15.95" customHeight="1">
      <c r="A14" s="16" t="str">
        <f ca="1">+Equipos!B7</f>
        <v>Bosnia and Herzegovina</v>
      </c>
      <c r="B14" s="16"/>
      <c r="C14" s="16"/>
      <c r="D14" s="16" t="str">
        <f t="shared" si="53"/>
        <v>Empate</v>
      </c>
      <c r="E14" s="16" t="str">
        <f t="shared" ca="1" si="54"/>
        <v>-</v>
      </c>
      <c r="F14" s="16" t="str">
        <f t="shared" ca="1" si="55"/>
        <v>-</v>
      </c>
      <c r="G14" s="16"/>
      <c r="H14" s="16" t="str">
        <f t="shared" ca="1" si="56"/>
        <v>-</v>
      </c>
      <c r="I14" s="16" t="str">
        <f t="shared" ca="1" si="57"/>
        <v>-</v>
      </c>
      <c r="J14" s="16"/>
      <c r="K14" s="16" t="str">
        <f t="shared" ca="1" si="58"/>
        <v>-</v>
      </c>
      <c r="L14" s="16" t="str">
        <f t="shared" ca="1" si="59"/>
        <v>-</v>
      </c>
      <c r="M14" s="16"/>
      <c r="N14" s="16" t="str">
        <f t="shared" ca="1" si="60"/>
        <v>-</v>
      </c>
      <c r="O14" s="16" t="str">
        <f t="shared" ca="1" si="61"/>
        <v>-</v>
      </c>
      <c r="P14" s="16"/>
      <c r="Q14" s="16" t="str">
        <f t="shared" ca="1" si="62"/>
        <v>-</v>
      </c>
      <c r="R14" s="16" t="str">
        <f t="shared" ca="1" si="63"/>
        <v>-</v>
      </c>
      <c r="S14" s="16"/>
      <c r="T14" s="16" t="str">
        <f t="shared" ca="1" si="64"/>
        <v>-</v>
      </c>
      <c r="U14" s="16" t="str">
        <f t="shared" ca="1" si="65"/>
        <v>-</v>
      </c>
      <c r="V14" s="17"/>
      <c r="W14" s="670"/>
      <c r="X14" s="24">
        <f ca="1">Horarios!C14</f>
        <v>46191.875</v>
      </c>
      <c r="Y14" s="25">
        <f ca="1">Horarios!C14</f>
        <v>46191.875</v>
      </c>
      <c r="Z14" s="26" t="str">
        <f>$Z$6</f>
        <v>R2</v>
      </c>
      <c r="AA14" s="27" t="str">
        <f ca="1">A16</f>
        <v>Switzerland</v>
      </c>
      <c r="AB14" s="49" t="e" cm="1" vm="8">
        <f t="array" aca="1" ref="AB14" ca="1">Ver_flag_local</f>
        <v>#VALUE!</v>
      </c>
      <c r="AC14" s="50">
        <v>1</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5">
        <f t="array" aca="1" ref="AK14" ca="1">Ver_flag_visit</f>
        <v>#VALUE!</v>
      </c>
      <c r="AL14" s="34" t="str">
        <f ca="1">IFERROR(INDEX($BD$6:$BD$53,MATCH(AI14,$BN$6:$BN$53,0)),"")</f>
        <v>Canada</v>
      </c>
      <c r="AM14" s="35">
        <f t="shared" ref="AM14:AT17" ca="1" si="69">INDEX($BE$6:$BN$53,MATCH($AL14,$BD$6:$BD$53,0),MATCH(AM$5,$BE$5:$BN$5,0))</f>
        <v>7</v>
      </c>
      <c r="AN14" s="36">
        <f t="shared" ca="1" si="69"/>
        <v>3</v>
      </c>
      <c r="AO14" s="36">
        <f t="shared" ca="1" si="69"/>
        <v>2</v>
      </c>
      <c r="AP14" s="36">
        <f t="shared" ca="1" si="69"/>
        <v>1</v>
      </c>
      <c r="AQ14" s="36">
        <f t="shared" ca="1" si="69"/>
        <v>0</v>
      </c>
      <c r="AR14" s="36">
        <f t="shared" ca="1" si="69"/>
        <v>5</v>
      </c>
      <c r="AS14" s="36">
        <f t="shared" ca="1" si="69"/>
        <v>2</v>
      </c>
      <c r="AT14" s="72">
        <f t="shared" ca="1" si="69"/>
        <v>3</v>
      </c>
      <c r="AU14" s="330">
        <f ca="1">INDEX($DL$6:$DL$53,MATCH(AI14,$DP$6:$DP$53,0))</f>
        <v>1</v>
      </c>
      <c r="AV14" s="182" t="str">
        <f ca="1">INDEX($BD$6:$BD$53,MATCH(AI14,$BM$6:$BM$53,0))</f>
        <v>Canada</v>
      </c>
      <c r="AW14" s="210"/>
      <c r="AX14" s="171"/>
      <c r="AY14" s="201" t="str">
        <f ca="1">+A13</f>
        <v>Canada</v>
      </c>
      <c r="AZ14" s="202"/>
      <c r="BA14" s="176"/>
      <c r="BC14" s="16" t="str">
        <f ca="1">+INDEX(T_Equipos[Grupo],MATCH(WORLDCUP!BD14,T_Equipos[NombreEquipo],0))</f>
        <v>C</v>
      </c>
      <c r="BD14" s="16" t="str">
        <f ca="1">+Equipos!B10</f>
        <v>Brazil</v>
      </c>
      <c r="BE14" s="16">
        <f t="shared" ca="1" si="16"/>
        <v>9</v>
      </c>
      <c r="BF14" s="16">
        <f t="shared" ca="1" si="41"/>
        <v>3</v>
      </c>
      <c r="BG14" s="16">
        <f t="shared" ca="1" si="17"/>
        <v>3</v>
      </c>
      <c r="BH14" s="16">
        <f t="shared" ca="1" si="18"/>
        <v>0</v>
      </c>
      <c r="BI14" s="16">
        <f t="shared" ca="1" si="19"/>
        <v>0</v>
      </c>
      <c r="BJ14" s="16">
        <f t="shared" ca="1" si="20"/>
        <v>12</v>
      </c>
      <c r="BK14" s="16">
        <f t="shared" ca="1" si="21"/>
        <v>2</v>
      </c>
      <c r="BL14" s="16">
        <f t="shared" ca="1" si="42"/>
        <v>10</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9</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v>
      </c>
      <c r="BU14" s="16" t="str">
        <f t="shared" ca="1" si="24"/>
        <v>-</v>
      </c>
      <c r="BV14" s="16" t="str">
        <f t="shared" ca="1" si="25"/>
        <v>-</v>
      </c>
      <c r="BW14" s="16" t="str">
        <f t="shared" ca="1" si="26"/>
        <v>-</v>
      </c>
      <c r="BX14" s="16" t="str">
        <f t="shared" ca="1" si="48"/>
        <v>-</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v>
      </c>
      <c r="CA14" s="16" t="str">
        <f t="shared" ca="1" si="27"/>
        <v>-</v>
      </c>
      <c r="CB14" s="16" t="str">
        <f t="shared" ca="1" si="28"/>
        <v>-</v>
      </c>
      <c r="CC14" s="16" t="str">
        <f t="shared" ca="1" si="49"/>
        <v>-</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v>
      </c>
      <c r="CF14" s="16" t="str">
        <f t="shared" ca="1" si="29"/>
        <v>-</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v>
      </c>
      <c r="CI14" s="16" t="str">
        <f t="shared" ca="1" si="30"/>
        <v>-</v>
      </c>
      <c r="CJ14" s="16" t="str">
        <f t="shared" ca="1" si="31"/>
        <v>-</v>
      </c>
      <c r="CK14" s="16" t="str">
        <f t="shared" ca="1" si="32"/>
        <v>-</v>
      </c>
      <c r="CL14" s="16" t="str">
        <f t="shared" ca="1" si="50"/>
        <v>-</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v>
      </c>
      <c r="CO14" s="16" t="str">
        <f t="shared" ca="1" si="33"/>
        <v>-</v>
      </c>
      <c r="CP14" s="16" t="str">
        <f t="shared" ca="1" si="34"/>
        <v>-</v>
      </c>
      <c r="CQ14" s="16" t="str">
        <f t="shared" ca="1" si="51"/>
        <v>-</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v>
      </c>
      <c r="CT14" s="16" t="str">
        <f t="shared" ca="1" si="35"/>
        <v>-</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v>
      </c>
      <c r="CW14" s="16" t="str">
        <f t="shared" ca="1" si="36"/>
        <v>-</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93</v>
      </c>
      <c r="DQ14" s="16" t="str">
        <f t="shared" ca="1" si="47"/>
        <v>Brazil</v>
      </c>
    </row>
    <row r="15" spans="1:121" ht="15.95" customHeight="1">
      <c r="A15" s="16" t="str">
        <f ca="1">+Equipos!B8</f>
        <v>Qatar</v>
      </c>
      <c r="B15" s="16"/>
      <c r="C15" s="16"/>
      <c r="D15" s="16" t="str">
        <f t="shared" si="53"/>
        <v>Local</v>
      </c>
      <c r="E15" s="16" t="str">
        <f t="shared" ca="1" si="54"/>
        <v>-</v>
      </c>
      <c r="F15" s="16" t="str">
        <f t="shared" ca="1" si="55"/>
        <v>-</v>
      </c>
      <c r="G15" s="16"/>
      <c r="H15" s="16" t="str">
        <f t="shared" ca="1" si="56"/>
        <v>-</v>
      </c>
      <c r="I15" s="16" t="str">
        <f t="shared" ca="1" si="57"/>
        <v>-</v>
      </c>
      <c r="J15" s="16"/>
      <c r="K15" s="16" t="str">
        <f t="shared" ca="1" si="58"/>
        <v>-</v>
      </c>
      <c r="L15" s="16" t="str">
        <f t="shared" ca="1" si="59"/>
        <v>-</v>
      </c>
      <c r="M15" s="16"/>
      <c r="N15" s="16" t="str">
        <f t="shared" ca="1" si="60"/>
        <v>-</v>
      </c>
      <c r="O15" s="16" t="str">
        <f t="shared" ca="1" si="61"/>
        <v>-</v>
      </c>
      <c r="P15" s="16"/>
      <c r="Q15" s="16" t="str">
        <f t="shared" ca="1" si="62"/>
        <v>-</v>
      </c>
      <c r="R15" s="16" t="str">
        <f t="shared" ca="1" si="63"/>
        <v>-</v>
      </c>
      <c r="S15" s="16"/>
      <c r="T15" s="16" t="str">
        <f t="shared" ca="1" si="64"/>
        <v>-</v>
      </c>
      <c r="U15" s="16" t="str">
        <f t="shared" ca="1" si="65"/>
        <v>-</v>
      </c>
      <c r="V15" s="17"/>
      <c r="W15" s="670"/>
      <c r="X15" s="24">
        <f ca="1">Horarios!C15</f>
        <v>46192</v>
      </c>
      <c r="Y15" s="25">
        <f ca="1">Horarios!C15</f>
        <v>46192</v>
      </c>
      <c r="Z15" s="26" t="str">
        <f>$Z$6</f>
        <v>R2</v>
      </c>
      <c r="AA15" s="27" t="str">
        <f ca="1">A13</f>
        <v>Canada</v>
      </c>
      <c r="AB15" s="49" t="e" cm="1" vm="5">
        <f t="array" aca="1" ref="AB15" ca="1">Ver_flag_local</f>
        <v>#VALUE!</v>
      </c>
      <c r="AC15" s="50">
        <v>2</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6">
        <f t="array" aca="1" ref="AK15" ca="1">Ver_flag_visit</f>
        <v>#VALUE!</v>
      </c>
      <c r="AL15" s="37" t="str">
        <f ca="1">IFERROR(INDEX($BD$6:$BD$53,MATCH(AI15,$BN$6:$BN$53,0)),"")</f>
        <v>Bosnia and Herzegovina</v>
      </c>
      <c r="AM15" s="38">
        <f t="shared" ca="1" si="69"/>
        <v>4</v>
      </c>
      <c r="AN15" s="39">
        <f t="shared" ca="1" si="69"/>
        <v>3</v>
      </c>
      <c r="AO15" s="39">
        <f t="shared" ca="1" si="69"/>
        <v>1</v>
      </c>
      <c r="AP15" s="39">
        <f t="shared" ca="1" si="69"/>
        <v>1</v>
      </c>
      <c r="AQ15" s="39">
        <f t="shared" ca="1" si="69"/>
        <v>1</v>
      </c>
      <c r="AR15" s="39">
        <f t="shared" ca="1" si="69"/>
        <v>3</v>
      </c>
      <c r="AS15" s="39">
        <f t="shared" ca="1" si="69"/>
        <v>3</v>
      </c>
      <c r="AT15" s="74">
        <f t="shared" ca="1" si="69"/>
        <v>0</v>
      </c>
      <c r="AU15" s="330">
        <f ca="1">INDEX($DL$6:$DL$53,MATCH(AI15,$DP$6:$DP$53,0))</f>
        <v>1</v>
      </c>
      <c r="AV15" s="182" t="str">
        <f ca="1">INDEX($BD$6:$BD$53,MATCH(AI15,$BM$6:$BM$53,0))</f>
        <v>Bosnia and Herzegovina</v>
      </c>
      <c r="AW15" s="210"/>
      <c r="AX15" s="171"/>
      <c r="AY15" s="203" t="str">
        <f ca="1">+A14</f>
        <v>Bosnia and Herzegovina</v>
      </c>
      <c r="AZ15" s="204"/>
      <c r="BA15" s="176"/>
      <c r="BC15" s="16" t="str">
        <f ca="1">+INDEX(T_Equipos[Grupo],MATCH(WORLDCUP!BD15,T_Equipos[NombreEquipo],0))</f>
        <v>C</v>
      </c>
      <c r="BD15" s="16" t="str">
        <f ca="1">+Equipos!B11</f>
        <v>Morocco</v>
      </c>
      <c r="BE15" s="16">
        <f t="shared" ca="1" si="16"/>
        <v>6</v>
      </c>
      <c r="BF15" s="16">
        <f t="shared" ca="1" si="41"/>
        <v>3</v>
      </c>
      <c r="BG15" s="16">
        <f t="shared" ca="1" si="17"/>
        <v>2</v>
      </c>
      <c r="BH15" s="16">
        <f t="shared" ca="1" si="18"/>
        <v>0</v>
      </c>
      <c r="BI15" s="16">
        <f t="shared" ca="1" si="19"/>
        <v>1</v>
      </c>
      <c r="BJ15" s="16">
        <f t="shared" ca="1" si="20"/>
        <v>7</v>
      </c>
      <c r="BK15" s="16">
        <f t="shared" ca="1" si="21"/>
        <v>4</v>
      </c>
      <c r="BL15" s="16">
        <f t="shared" ca="1" si="42"/>
        <v>3</v>
      </c>
      <c r="BM15" s="16" t="str">
        <f t="shared" ca="1" si="22"/>
        <v>2C</v>
      </c>
      <c r="BN15" s="16" t="str">
        <f t="shared" ca="1" si="23"/>
        <v>2C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6</v>
      </c>
      <c r="BS15" s="16">
        <f ca="1">BP15+COUNTIFS($BQ$6:$BQ$53,BQ15,$BR$6:BR$53,"&gt;"&amp;BR15,$BC$6:$BC$53,INDEX(T_Equipos[Grupo],MATCH(BD15,T_Equipos[NombreEquipo],0)))</f>
        <v>2</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2</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2</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2</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2</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2</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2</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2</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2</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2</v>
      </c>
      <c r="DE15" s="16"/>
      <c r="DF15" s="16">
        <f t="shared" ca="1" si="52"/>
        <v>2</v>
      </c>
      <c r="DG15" s="16" t="str">
        <f ca="1">IF(DB15="-","-",COUNTIFS(DF$6:DF$53,"&lt;"&amp;DF15,$BC$6:$BC$53,INDEX(T_Equipos[Grupo],MATCH(BD15,T_Equipos[NombreEquipo],0))))</f>
        <v>-</v>
      </c>
      <c r="DH15" s="16">
        <f ca="1">DA15+COUNTIFS(DB$6:DB$53,DB15,DG$6:DG$53,"&lt;"&amp;DG15,$BC$6:$BC$53,INDEX(T_Equipos[Grupo],MATCH(BD15,T_Equipos[NombreEquipo],0)))</f>
        <v>2</v>
      </c>
      <c r="DI15" s="16"/>
      <c r="DJ15" s="16">
        <f t="shared" ca="1" si="38"/>
        <v>2</v>
      </c>
      <c r="DK15" s="16">
        <f t="shared" ca="1" si="39"/>
        <v>12</v>
      </c>
      <c r="DL15" s="16">
        <f t="shared" ca="1" si="40"/>
        <v>1</v>
      </c>
      <c r="DM15" s="16" t="str">
        <f t="shared" ca="1" si="46"/>
        <v>2.1</v>
      </c>
      <c r="DN15" s="16" cm="1">
        <f t="array" aca="1" ref="DN15" ca="1">OFFSET(Horarios!$P$3,DJ15-1,0,DL15,1)</f>
        <v>2</v>
      </c>
      <c r="DO15" s="16"/>
      <c r="DP15" s="16" t="s">
        <v>94</v>
      </c>
      <c r="DQ15" s="16" t="str">
        <f t="shared" ca="1" si="47"/>
        <v>Morocco</v>
      </c>
    </row>
    <row r="16" spans="1:121" ht="15.95" customHeight="1">
      <c r="A16" s="16" t="str">
        <f ca="1">+Equipos!B9</f>
        <v>Switzerland</v>
      </c>
      <c r="B16" s="16"/>
      <c r="C16" s="16"/>
      <c r="D16" s="16" t="str">
        <f t="shared" si="53"/>
        <v>Empate</v>
      </c>
      <c r="E16" s="16" t="str">
        <f t="shared" ca="1" si="54"/>
        <v>-</v>
      </c>
      <c r="F16" s="16" t="str">
        <f t="shared" ca="1" si="55"/>
        <v>-</v>
      </c>
      <c r="G16" s="16"/>
      <c r="H16" s="16" t="str">
        <f t="shared" ca="1" si="56"/>
        <v>-</v>
      </c>
      <c r="I16" s="16" t="str">
        <f t="shared" ca="1" si="57"/>
        <v>-</v>
      </c>
      <c r="J16" s="16"/>
      <c r="K16" s="16" t="str">
        <f t="shared" ca="1" si="58"/>
        <v>-</v>
      </c>
      <c r="L16" s="16" t="str">
        <f t="shared" ca="1" si="59"/>
        <v>-</v>
      </c>
      <c r="M16" s="16"/>
      <c r="N16" s="16" t="str">
        <f t="shared" ca="1" si="60"/>
        <v>-</v>
      </c>
      <c r="O16" s="16" t="str">
        <f t="shared" ca="1" si="61"/>
        <v>-</v>
      </c>
      <c r="P16" s="16"/>
      <c r="Q16" s="16" t="str">
        <f t="shared" ca="1" si="62"/>
        <v>-</v>
      </c>
      <c r="R16" s="16" t="str">
        <f t="shared" ca="1" si="63"/>
        <v>-</v>
      </c>
      <c r="S16" s="16"/>
      <c r="T16" s="16" t="str">
        <f t="shared" ca="1" si="64"/>
        <v>-</v>
      </c>
      <c r="U16" s="16" t="str">
        <f t="shared" ca="1" si="65"/>
        <v>-</v>
      </c>
      <c r="V16" s="17"/>
      <c r="W16" s="670"/>
      <c r="X16" s="24">
        <f ca="1">Horarios!C16</f>
        <v>46197.875</v>
      </c>
      <c r="Y16" s="25">
        <f ca="1">Horarios!C16</f>
        <v>46197.875</v>
      </c>
      <c r="Z16" s="26" t="str">
        <f>$Z$8</f>
        <v>R3</v>
      </c>
      <c r="AA16" s="27" t="str">
        <f ca="1">A16</f>
        <v>Switzerland</v>
      </c>
      <c r="AB16" s="49" t="e" cm="1" vm="8">
        <f t="array" aca="1" ref="AB16" ca="1">Ver_flag_local</f>
        <v>#VALUE!</v>
      </c>
      <c r="AC16" s="50">
        <v>1</v>
      </c>
      <c r="AD16" s="51">
        <v>1</v>
      </c>
      <c r="AE16" s="595" t="e" cm="1" vm="5">
        <f t="array" aca="1" ref="AE16" ca="1">Ver_flag_visit</f>
        <v>#VALUE!</v>
      </c>
      <c r="AF16" s="32" t="str">
        <f ca="1">A13</f>
        <v>Canada</v>
      </c>
      <c r="AG16" s="323">
        <f t="shared" si="66"/>
        <v>1</v>
      </c>
      <c r="AH16" s="195">
        <v>51</v>
      </c>
      <c r="AI16" s="181" t="str">
        <f t="shared" si="70"/>
        <v>3B</v>
      </c>
      <c r="AJ16" s="73">
        <v>3</v>
      </c>
      <c r="AK16" s="602" t="e" cm="1" vm="8">
        <f t="array" aca="1" ref="AK16" ca="1">Ver_flag_visit</f>
        <v>#VALUE!</v>
      </c>
      <c r="AL16" s="37" t="str">
        <f ca="1">IFERROR(INDEX($BD$6:$BD$53,MATCH(AI16,$BN$6:$BN$53,0)),"")</f>
        <v>Switzerland</v>
      </c>
      <c r="AM16" s="38">
        <f t="shared" ca="1" si="69"/>
        <v>3</v>
      </c>
      <c r="AN16" s="39">
        <f t="shared" ca="1" si="69"/>
        <v>3</v>
      </c>
      <c r="AO16" s="39">
        <f t="shared" ca="1" si="69"/>
        <v>0</v>
      </c>
      <c r="AP16" s="39">
        <f t="shared" ca="1" si="69"/>
        <v>3</v>
      </c>
      <c r="AQ16" s="39">
        <f t="shared" ca="1" si="69"/>
        <v>0</v>
      </c>
      <c r="AR16" s="39">
        <f t="shared" ca="1" si="69"/>
        <v>3</v>
      </c>
      <c r="AS16" s="39">
        <f t="shared" ca="1" si="69"/>
        <v>3</v>
      </c>
      <c r="AT16" s="74">
        <f t="shared" ca="1" si="69"/>
        <v>0</v>
      </c>
      <c r="AU16" s="330">
        <f ca="1">INDEX($DL$6:$DL$53,MATCH(AI16,$DP$6:$DP$53,0))</f>
        <v>1</v>
      </c>
      <c r="AV16" s="182" t="str">
        <f ca="1">INDEX($BD$6:$BD$53,MATCH(AI16,$BM$6:$BM$53,0))</f>
        <v>Switzerland</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0</v>
      </c>
      <c r="BK16" s="16">
        <f t="shared" ca="1" si="21"/>
        <v>11</v>
      </c>
      <c r="BL16" s="16">
        <f t="shared" ca="1" si="42"/>
        <v>-11</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95</v>
      </c>
      <c r="DQ16" s="16" t="str">
        <f t="shared" ca="1" si="47"/>
        <v>Scotland</v>
      </c>
    </row>
    <row r="17" spans="1:121" ht="15.95" customHeight="1" thickBot="1">
      <c r="A17" s="16"/>
      <c r="B17" s="16"/>
      <c r="C17" s="16"/>
      <c r="D17" s="16" t="str">
        <f t="shared" si="53"/>
        <v>Local</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71"/>
      <c r="X17" s="28">
        <f ca="1">Horarios!C17</f>
        <v>46197.875</v>
      </c>
      <c r="Y17" s="29">
        <f ca="1">Horarios!C17</f>
        <v>46197.875</v>
      </c>
      <c r="Z17" s="30" t="str">
        <f>$Z$8</f>
        <v>R3</v>
      </c>
      <c r="AA17" s="31" t="str">
        <f ca="1">A14</f>
        <v>Bosnia and Herzegovina</v>
      </c>
      <c r="AB17" s="52" t="e" cm="1" vm="6">
        <f t="array" aca="1" ref="AB17" ca="1">Ver_flag_local</f>
        <v>#VALUE!</v>
      </c>
      <c r="AC17" s="53">
        <v>1</v>
      </c>
      <c r="AD17" s="54">
        <v>0</v>
      </c>
      <c r="AE17" s="596" t="e" cm="1" vm="7">
        <f t="array" aca="1" ref="AE17" ca="1">Ver_flag_visit</f>
        <v>#VALUE!</v>
      </c>
      <c r="AF17" s="33" t="str">
        <f ca="1">A15</f>
        <v>Qatar</v>
      </c>
      <c r="AG17" s="323">
        <f t="shared" si="66"/>
        <v>1</v>
      </c>
      <c r="AH17" s="195">
        <v>52</v>
      </c>
      <c r="AI17" s="181" t="str">
        <f t="shared" si="70"/>
        <v>4B</v>
      </c>
      <c r="AJ17" s="75">
        <v>4</v>
      </c>
      <c r="AK17" s="603" t="e" cm="1" vm="7">
        <f t="array" aca="1" ref="AK17" ca="1">Ver_flag_visit</f>
        <v>#VALUE!</v>
      </c>
      <c r="AL17" s="76" t="str">
        <f ca="1">IFERROR(INDEX($BD$6:$BD$53,MATCH(AI17,$BN$6:$BN$53,0)),"")</f>
        <v>Qatar</v>
      </c>
      <c r="AM17" s="77">
        <f t="shared" ca="1" si="69"/>
        <v>1</v>
      </c>
      <c r="AN17" s="78">
        <f t="shared" ca="1" si="69"/>
        <v>3</v>
      </c>
      <c r="AO17" s="78">
        <f t="shared" ca="1" si="69"/>
        <v>0</v>
      </c>
      <c r="AP17" s="78">
        <f t="shared" ca="1" si="69"/>
        <v>1</v>
      </c>
      <c r="AQ17" s="78">
        <f t="shared" ca="1" si="69"/>
        <v>2</v>
      </c>
      <c r="AR17" s="78">
        <f t="shared" ca="1" si="69"/>
        <v>1</v>
      </c>
      <c r="AS17" s="78">
        <f t="shared" ca="1" si="69"/>
        <v>4</v>
      </c>
      <c r="AT17" s="79">
        <f t="shared" ca="1" si="69"/>
        <v>-3</v>
      </c>
      <c r="AU17" s="330">
        <f ca="1">INDEX($DL$6:$DL$53,MATCH(AI17,$DP$6:$DP$53,0))</f>
        <v>1</v>
      </c>
      <c r="AV17" s="182" t="str">
        <f ca="1">INDEX($BD$6:$BD$53,MATCH(AI17,$BM$6:$BM$53,0))</f>
        <v>Qatar</v>
      </c>
      <c r="AW17" s="210"/>
      <c r="AX17" s="171"/>
      <c r="AY17" s="205" t="str">
        <f ca="1">+A16</f>
        <v>Switzerland</v>
      </c>
      <c r="AZ17" s="206"/>
      <c r="BA17" s="176"/>
      <c r="BC17" s="16" t="str">
        <f ca="1">+INDEX(T_Equipos[Grupo],MATCH(WORLDCUP!BD17,T_Equipos[NombreEquipo],0))</f>
        <v>C</v>
      </c>
      <c r="BD17" s="16" t="str">
        <f ca="1">+Equipos!B13</f>
        <v>Scotland</v>
      </c>
      <c r="BE17" s="16">
        <f t="shared" ca="1" si="16"/>
        <v>3</v>
      </c>
      <c r="BF17" s="16">
        <f t="shared" ca="1" si="41"/>
        <v>3</v>
      </c>
      <c r="BG17" s="16">
        <f t="shared" ca="1" si="17"/>
        <v>1</v>
      </c>
      <c r="BH17" s="16">
        <f t="shared" ca="1" si="18"/>
        <v>0</v>
      </c>
      <c r="BI17" s="16">
        <f t="shared" ca="1" si="19"/>
        <v>2</v>
      </c>
      <c r="BJ17" s="16">
        <f t="shared" ca="1" si="20"/>
        <v>3</v>
      </c>
      <c r="BK17" s="16">
        <f t="shared" ca="1" si="21"/>
        <v>5</v>
      </c>
      <c r="BL17" s="16">
        <f t="shared" ca="1" si="42"/>
        <v>-2</v>
      </c>
      <c r="BM17" s="16" t="str">
        <f t="shared" ca="1" si="22"/>
        <v>3C</v>
      </c>
      <c r="BN17" s="16" t="str">
        <f t="shared" ca="1" si="23"/>
        <v>3C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3</v>
      </c>
      <c r="BS17" s="16">
        <f ca="1">BP17+COUNTIFS($BQ$6:$BQ$53,BQ17,$BR$6:BR$53,"&gt;"&amp;BR17,$BC$6:$BC$53,INDEX(T_Equipos[Grupo],MATCH(BD17,T_Equipos[NombreEquipo],0)))</f>
        <v>3</v>
      </c>
      <c r="BT17" s="16" t="str">
        <f ca="1">IF(COUNTIFS($BS$6:$BS$53,BS17,$BC$6:$BC$53,INDEX(T_Equipos[Grupo],MATCH(BD17,T_Equipos[NombreEquipo],0)))=1,"-","P."&amp;BS17&amp;" ("&amp;COUNTIFS($BS$6:$BS$53,BS17,$BC$6:$BC$53,INDEX(T_Equipos[Grupo],MATCH(BD17,T_Equipos[NombreEquipo],0)))&amp;")")</f>
        <v>-</v>
      </c>
      <c r="BU17" s="16" t="str">
        <f t="shared" ca="1" si="24"/>
        <v>-</v>
      </c>
      <c r="BV17" s="16" t="str">
        <f t="shared" ca="1" si="25"/>
        <v>-</v>
      </c>
      <c r="BW17" s="16" t="str">
        <f t="shared" ca="1" si="26"/>
        <v>-</v>
      </c>
      <c r="BX17" s="16" t="str">
        <f t="shared" ca="1" si="48"/>
        <v>-</v>
      </c>
      <c r="BY17" s="16">
        <f ca="1">BS17+COUNTIFS($BT$6:$BT$53,BT17,$BX$6:BX$53,"&gt;"&amp;BX17,$BC$6:$BC$53,INDEX(T_Equipos[Grupo],MATCH(BD17,T_Equipos[NombreEquipo],0)))</f>
        <v>3</v>
      </c>
      <c r="BZ17" s="16" t="str">
        <f ca="1">IF(COUNTIFS($BY$6:$BY$53,BY17,$BC$6:$BC$53,INDEX(T_Equipos[Grupo],MATCH(BD17,T_Equipos[NombreEquipo],0)))=1,"-","P."&amp;BY17&amp;" ("&amp;COUNTIFS($BY$6:$BY$53,BY17,$BC$6:$BC$53,INDEX(T_Equipos[Grupo],MATCH(BD17,T_Equipos[NombreEquipo],0)))&amp;")")</f>
        <v>-</v>
      </c>
      <c r="CA17" s="16" t="str">
        <f t="shared" ca="1" si="27"/>
        <v>-</v>
      </c>
      <c r="CB17" s="16" t="str">
        <f t="shared" ca="1" si="28"/>
        <v>-</v>
      </c>
      <c r="CC17" s="16" t="str">
        <f t="shared" ca="1" si="49"/>
        <v>-</v>
      </c>
      <c r="CD17" s="16">
        <f ca="1">BY17+COUNTIFS($BZ$6:$BZ$53,BZ17,$CC$6:CC$53,"&gt;"&amp;CC17,$BC$6:$BC$53,INDEX(T_Equipos[Grupo],MATCH(BD17,T_Equipos[NombreEquipo],0)))</f>
        <v>3</v>
      </c>
      <c r="CE17" s="16" t="str">
        <f ca="1">IF(COUNTIFS($CD$6:$CD$53,CD17,$BC$6:$BC$53,INDEX(T_Equipos[Grupo],MATCH(BD17,T_Equipos[NombreEquipo],0)))=1,"-","P."&amp;CD17&amp;" ("&amp;COUNTIFS($CD$6:$CD$53,CD17,$BC$6:$BC$53,INDEX(T_Equipos[Grupo],MATCH(BD17,T_Equipos[NombreEquipo],0)))&amp;")")</f>
        <v>-</v>
      </c>
      <c r="CF17" s="16" t="str">
        <f t="shared" ca="1" si="29"/>
        <v>-</v>
      </c>
      <c r="CG17" s="16">
        <f ca="1">CD17+COUNTIFS($CE$6:$CE$53,CE17,$CF$6:CF$53,"&gt;"&amp;CF17,$BC$6:$BC$53,INDEX(T_Equipos[Grupo],MATCH(BD17,T_Equipos[NombreEquipo],0)))</f>
        <v>3</v>
      </c>
      <c r="CH17" s="16" t="str">
        <f ca="1">IF(COUNTIFS($CG$6:$CG$53,CG17,$BC$6:$BC$53,INDEX(T_Equipos[Grupo],MATCH(BD17,T_Equipos[NombreEquipo],0)))=1,"-","P."&amp;CG17&amp;" ("&amp;COUNTIFS($CG$6:$CG$53,CG17,$BC$6:$BC$53,INDEX(T_Equipos[Grupo],MATCH(BD17,T_Equipos[NombreEquipo],0)))&amp;")")</f>
        <v>-</v>
      </c>
      <c r="CI17" s="16" t="str">
        <f t="shared" ca="1" si="30"/>
        <v>-</v>
      </c>
      <c r="CJ17" s="16" t="str">
        <f t="shared" ca="1" si="31"/>
        <v>-</v>
      </c>
      <c r="CK17" s="16" t="str">
        <f t="shared" ca="1" si="32"/>
        <v>-</v>
      </c>
      <c r="CL17" s="16" t="str">
        <f t="shared" ca="1" si="50"/>
        <v>-</v>
      </c>
      <c r="CM17" s="16">
        <f ca="1">CG17+COUNTIFS($CH$6:$CH$53,CH17,$CL$6:CL$53,"&gt;"&amp;CL17,$BC$6:$BC$53,INDEX(T_Equipos[Grupo],MATCH(BD17,T_Equipos[NombreEquipo],0)))</f>
        <v>3</v>
      </c>
      <c r="CN17" s="16" t="str">
        <f ca="1">IF(COUNTIFS($CM$6:$CM$53,CM17,$BC$6:$BC$53,INDEX(T_Equipos[Grupo],MATCH(BD17,T_Equipos[NombreEquipo],0)))=1,"-","P."&amp;CM17&amp;" ("&amp;COUNTIFS($CM$6:$CM$53,CM17,$BC$6:$BC$53,INDEX(T_Equipos[Grupo],MATCH(BD17,T_Equipos[NombreEquipo],0)))&amp;")")</f>
        <v>-</v>
      </c>
      <c r="CO17" s="16" t="str">
        <f t="shared" ca="1" si="33"/>
        <v>-</v>
      </c>
      <c r="CP17" s="16" t="str">
        <f t="shared" ca="1" si="34"/>
        <v>-</v>
      </c>
      <c r="CQ17" s="16" t="str">
        <f t="shared" ca="1" si="51"/>
        <v>-</v>
      </c>
      <c r="CR17" s="16">
        <f ca="1">CM17+COUNTIFS($CN$6:$CN$53,CN17,$CQ$6:CQ$53,"&gt;"&amp;CQ17,$BC$6:$BC$53,INDEX(T_Equipos[Grupo],MATCH(BD17,T_Equipos[NombreEquipo],0)))</f>
        <v>3</v>
      </c>
      <c r="CS17" s="16" t="str">
        <f ca="1">IF(COUNTIFS($CR$6:$CR$53,CR17,$BC$6:$BC$53,INDEX(T_Equipos[Grupo],MATCH(BD17,T_Equipos[NombreEquipo],0)))=1,"-","P."&amp;CR17&amp;" ("&amp;COUNTIFS($CR$6:$CR$53,CR17,$BC$6:$BC$53,INDEX(T_Equipos[Grupo],MATCH(BD17,T_Equipos[NombreEquipo],0)))&amp;")")</f>
        <v>-</v>
      </c>
      <c r="CT17" s="16" t="str">
        <f t="shared" ca="1" si="35"/>
        <v>-</v>
      </c>
      <c r="CU17" s="16">
        <f ca="1">CR17+COUNTIFS($CS$6:$CS$53,CS17,$CT$6:CT$53,"&gt;"&amp;CT17,$BC$6:$BC$53,INDEX(T_Equipos[Grupo],MATCH(BD17,T_Equipos[NombreEquipo],0)))</f>
        <v>3</v>
      </c>
      <c r="CV17" s="16" t="str">
        <f ca="1">IF(COUNTIFS($CU$6:$CU$53,CU17,$BC$6:$BC$53,INDEX(T_Equipos[Grupo],MATCH(BD17,T_Equipos[NombreEquipo],0)))=1,"-","P."&amp;CU17&amp;" ("&amp;COUNTIFS($CU$6:$CU$53,CU17,$BC$6:$BC$53,INDEX(T_Equipos[Grupo],MATCH(BD17,T_Equipos[NombreEquipo],0)))&amp;")")</f>
        <v>-</v>
      </c>
      <c r="CW17" s="16" t="str">
        <f t="shared" ca="1" si="36"/>
        <v>-</v>
      </c>
      <c r="CX17" s="16">
        <f ca="1">CU17+COUNTIFS($CV$6:$CV$53,CV17,$CW$6:CW$53,"&gt;"&amp;CW17,$BC$6:$BC$53,INDEX(T_Equipos[Grupo],MATCH(BD17,T_Equipos[NombreEquipo],0)))</f>
        <v>3</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3</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3</v>
      </c>
      <c r="DE17" s="16"/>
      <c r="DF17" s="16">
        <f t="shared" ca="1" si="52"/>
        <v>3</v>
      </c>
      <c r="DG17" s="16" t="str">
        <f ca="1">IF(DB17="-","-",COUNTIFS(DF$6:DF$53,"&lt;"&amp;DF17,$BC$6:$BC$53,INDEX(T_Equipos[Grupo],MATCH(BD17,T_Equipos[NombreEquipo],0))))</f>
        <v>-</v>
      </c>
      <c r="DH17" s="16">
        <f ca="1">DA17+COUNTIFS(DB$6:DB$53,DB17,DG$6:DG$53,"&lt;"&amp;DG17,$BC$6:$BC$53,INDEX(T_Equipos[Grupo],MATCH(BD17,T_Equipos[NombreEquipo],0)))</f>
        <v>3</v>
      </c>
      <c r="DI17" s="16"/>
      <c r="DJ17" s="16">
        <f t="shared" ca="1" si="38"/>
        <v>4</v>
      </c>
      <c r="DK17" s="16">
        <f t="shared" ca="1" si="39"/>
        <v>12</v>
      </c>
      <c r="DL17" s="16">
        <f t="shared" ca="1" si="40"/>
        <v>1</v>
      </c>
      <c r="DM17" s="16" t="str">
        <f t="shared" ca="1" si="46"/>
        <v>4.1</v>
      </c>
      <c r="DN17" s="16" cm="1">
        <f t="array" aca="1" ref="DN17" ca="1">OFFSET(Horarios!$P$3,DJ17-1,0,DL17,1)</f>
        <v>4</v>
      </c>
      <c r="DO17" s="16"/>
      <c r="DP17" s="16" t="s">
        <v>96</v>
      </c>
      <c r="DQ17" s="16" t="str">
        <f t="shared" ca="1" si="47"/>
        <v>Haiti</v>
      </c>
    </row>
    <row r="18" spans="1:121" ht="15.95"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6</v>
      </c>
      <c r="BF18" s="16">
        <f t="shared" ca="1" si="41"/>
        <v>3</v>
      </c>
      <c r="BG18" s="16">
        <f t="shared" ca="1" si="17"/>
        <v>2</v>
      </c>
      <c r="BH18" s="16">
        <f t="shared" ca="1" si="18"/>
        <v>0</v>
      </c>
      <c r="BI18" s="16">
        <f t="shared" ca="1" si="19"/>
        <v>1</v>
      </c>
      <c r="BJ18" s="16">
        <f t="shared" ca="1" si="20"/>
        <v>5</v>
      </c>
      <c r="BK18" s="16">
        <f t="shared" ca="1" si="21"/>
        <v>4</v>
      </c>
      <c r="BL18" s="16">
        <f t="shared" ca="1" si="42"/>
        <v>1</v>
      </c>
      <c r="BM18" s="16" t="str">
        <f t="shared" ca="1" si="22"/>
        <v>2D</v>
      </c>
      <c r="BN18" s="16" t="str">
        <f t="shared" ca="1" si="23"/>
        <v>2D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6</v>
      </c>
      <c r="BS18" s="16">
        <f ca="1">BP18+COUNTIFS($BQ$6:$BQ$53,BQ18,$BR$6:BR$53,"&gt;"&amp;BR18,$BC$6:$BC$53,INDEX(T_Equipos[Grupo],MATCH(BD18,T_Equipos[NombreEquipo],0)))</f>
        <v>2</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2</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2</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2</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2</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2</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2</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2</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2</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2</v>
      </c>
      <c r="DE18" s="16"/>
      <c r="DF18" s="16">
        <f t="shared" ca="1" si="52"/>
        <v>2</v>
      </c>
      <c r="DG18" s="16" t="str">
        <f ca="1">IF(DB18="-","-",COUNTIFS(DF$6:DF$53,"&lt;"&amp;DF18,$BC$6:$BC$53,INDEX(T_Equipos[Grupo],MATCH(BD18,T_Equipos[NombreEquipo],0))))</f>
        <v>-</v>
      </c>
      <c r="DH18" s="16">
        <f ca="1">DA18+COUNTIFS(DB$6:DB$53,DB18,DG$6:DG$53,"&lt;"&amp;DG18,$BC$6:$BC$53,INDEX(T_Equipos[Grupo],MATCH(BD18,T_Equipos[NombreEquipo],0)))</f>
        <v>2</v>
      </c>
      <c r="DI18" s="16"/>
      <c r="DJ18" s="16">
        <f t="shared" ca="1" si="38"/>
        <v>1</v>
      </c>
      <c r="DK18" s="16">
        <f t="shared" ca="1" si="39"/>
        <v>12</v>
      </c>
      <c r="DL18" s="16">
        <f t="shared" ca="1" si="40"/>
        <v>1</v>
      </c>
      <c r="DM18" s="16" t="str">
        <f t="shared" ca="1" si="46"/>
        <v>1.1</v>
      </c>
      <c r="DN18" s="16" cm="1">
        <f t="array" aca="1" ref="DN18" ca="1">OFFSET(Horarios!$P$3,DJ18-1,0,DL18,1)</f>
        <v>1</v>
      </c>
      <c r="DO18" s="16"/>
      <c r="DP18" s="16" t="s">
        <v>97</v>
      </c>
      <c r="DQ18" s="16" t="str">
        <f t="shared" ca="1" si="47"/>
        <v>Turkey</v>
      </c>
    </row>
    <row r="19" spans="1:121" ht="15.95"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1</v>
      </c>
      <c r="BF19" s="16">
        <f t="shared" ca="1" si="41"/>
        <v>3</v>
      </c>
      <c r="BG19" s="16">
        <f t="shared" ca="1" si="17"/>
        <v>0</v>
      </c>
      <c r="BH19" s="16">
        <f t="shared" ca="1" si="18"/>
        <v>1</v>
      </c>
      <c r="BI19" s="16">
        <f t="shared" ca="1" si="19"/>
        <v>2</v>
      </c>
      <c r="BJ19" s="16">
        <f t="shared" ca="1" si="20"/>
        <v>2</v>
      </c>
      <c r="BK19" s="16">
        <f t="shared" ca="1" si="21"/>
        <v>7</v>
      </c>
      <c r="BL19" s="16">
        <f t="shared" ca="1" si="42"/>
        <v>-5</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1</v>
      </c>
      <c r="BS19" s="16">
        <f ca="1">BP19+COUNTIFS($BQ$6:$BQ$53,BQ19,$BR$6:BR$53,"&gt;"&amp;BR19,$BC$6:$BC$53,INDEX(T_Equipos[Grupo],MATCH(BD19,T_Equipos[NombreEquipo],0)))</f>
        <v>3</v>
      </c>
      <c r="BT19" s="16" t="str">
        <f ca="1">IF(COUNTIFS($BS$6:$BS$53,BS19,$BC$6:$BC$53,INDEX(T_Equipos[Grupo],MATCH(BD19,T_Equipos[NombreEquipo],0)))=1,"-","P."&amp;BS19&amp;" ("&amp;COUNTIFS($BS$6:$BS$53,BS19,$BC$6:$BC$53,INDEX(T_Equipos[Grupo],MATCH(BD19,T_Equipos[NombreEquipo],0)))&amp;")")</f>
        <v>P.3 (2)</v>
      </c>
      <c r="BU19" s="16">
        <f t="shared" ca="1" si="24"/>
        <v>0</v>
      </c>
      <c r="BV19" s="16">
        <f t="shared" ca="1" si="25"/>
        <v>1</v>
      </c>
      <c r="BW19" s="16">
        <f t="shared" ca="1" si="26"/>
        <v>0</v>
      </c>
      <c r="BX19" s="16">
        <f t="shared" ca="1" si="48"/>
        <v>1</v>
      </c>
      <c r="BY19" s="16">
        <f ca="1">BS19+COUNTIFS($BT$6:$BT$53,BT19,$BX$6:BX$53,"&gt;"&amp;BX19,$BC$6:$BC$53,INDEX(T_Equipos[Grupo],MATCH(BD19,T_Equipos[NombreEquipo],0)))</f>
        <v>3</v>
      </c>
      <c r="BZ19" s="16" t="str">
        <f ca="1">IF(COUNTIFS($BY$6:$BY$53,BY19,$BC$6:$BC$53,INDEX(T_Equipos[Grupo],MATCH(BD19,T_Equipos[NombreEquipo],0)))=1,"-","P."&amp;BY19&amp;" ("&amp;COUNTIFS($BY$6:$BY$53,BY19,$BC$6:$BC$53,INDEX(T_Equipos[Grupo],MATCH(BD19,T_Equipos[NombreEquipo],0)))&amp;")")</f>
        <v>P.3 (2)</v>
      </c>
      <c r="CA19" s="16">
        <f t="shared" ca="1" si="27"/>
        <v>1</v>
      </c>
      <c r="CB19" s="16">
        <f t="shared" ca="1" si="28"/>
        <v>1</v>
      </c>
      <c r="CC19" s="16">
        <f t="shared" ca="1" si="49"/>
        <v>0</v>
      </c>
      <c r="CD19" s="16">
        <f ca="1">BY19+COUNTIFS($BZ$6:$BZ$53,BZ19,$CC$6:CC$53,"&gt;"&amp;CC19,$BC$6:$BC$53,INDEX(T_Equipos[Grupo],MATCH(BD19,T_Equipos[NombreEquipo],0)))</f>
        <v>3</v>
      </c>
      <c r="CE19" s="16" t="str">
        <f ca="1">IF(COUNTIFS($CD$6:$CD$53,CD19,$BC$6:$BC$53,INDEX(T_Equipos[Grupo],MATCH(BD19,T_Equipos[NombreEquipo],0)))=1,"-","P."&amp;CD19&amp;" ("&amp;COUNTIFS($CD$6:$CD$53,CD19,$BC$6:$BC$53,INDEX(T_Equipos[Grupo],MATCH(BD19,T_Equipos[NombreEquipo],0)))&amp;")")</f>
        <v>P.3 (2)</v>
      </c>
      <c r="CF19" s="16">
        <f t="shared" ca="1" si="29"/>
        <v>1</v>
      </c>
      <c r="CG19" s="16">
        <f ca="1">CD19+COUNTIFS($CE$6:$CE$53,CE19,$CF$6:CF$53,"&gt;"&amp;CF19,$BC$6:$BC$53,INDEX(T_Equipos[Grupo],MATCH(BD19,T_Equipos[NombreEquipo],0)))</f>
        <v>3</v>
      </c>
      <c r="CH19" s="16" t="str">
        <f ca="1">IF(COUNTIFS($CG$6:$CG$53,CG19,$BC$6:$BC$53,INDEX(T_Equipos[Grupo],MATCH(BD19,T_Equipos[NombreEquipo],0)))=1,"-","P."&amp;CG19&amp;" ("&amp;COUNTIFS($CG$6:$CG$53,CG19,$BC$6:$BC$53,INDEX(T_Equipos[Grupo],MATCH(BD19,T_Equipos[NombreEquipo],0)))&amp;")")</f>
        <v>P.3 (2)</v>
      </c>
      <c r="CI19" s="16">
        <f t="shared" ca="1" si="30"/>
        <v>0</v>
      </c>
      <c r="CJ19" s="16">
        <f t="shared" ca="1" si="31"/>
        <v>1</v>
      </c>
      <c r="CK19" s="16">
        <f t="shared" ca="1" si="32"/>
        <v>0</v>
      </c>
      <c r="CL19" s="16">
        <f t="shared" ca="1" si="50"/>
        <v>1</v>
      </c>
      <c r="CM19" s="16">
        <f ca="1">CG19+COUNTIFS($CH$6:$CH$53,CH19,$CL$6:CL$53,"&gt;"&amp;CL19,$BC$6:$BC$53,INDEX(T_Equipos[Grupo],MATCH(BD19,T_Equipos[NombreEquipo],0)))</f>
        <v>3</v>
      </c>
      <c r="CN19" s="16" t="str">
        <f ca="1">IF(COUNTIFS($CM$6:$CM$53,CM19,$BC$6:$BC$53,INDEX(T_Equipos[Grupo],MATCH(BD19,T_Equipos[NombreEquipo],0)))=1,"-","P."&amp;CM19&amp;" ("&amp;COUNTIFS($CM$6:$CM$53,CM19,$BC$6:$BC$53,INDEX(T_Equipos[Grupo],MATCH(BD19,T_Equipos[NombreEquipo],0)))&amp;")")</f>
        <v>P.3 (2)</v>
      </c>
      <c r="CO19" s="16">
        <f t="shared" ca="1" si="33"/>
        <v>1</v>
      </c>
      <c r="CP19" s="16">
        <f t="shared" ca="1" si="34"/>
        <v>1</v>
      </c>
      <c r="CQ19" s="16">
        <f t="shared" ca="1" si="51"/>
        <v>0</v>
      </c>
      <c r="CR19" s="16">
        <f ca="1">CM19+COUNTIFS($CN$6:$CN$53,CN19,$CQ$6:CQ$53,"&gt;"&amp;CQ19,$BC$6:$BC$53,INDEX(T_Equipos[Grupo],MATCH(BD19,T_Equipos[NombreEquipo],0)))</f>
        <v>3</v>
      </c>
      <c r="CS19" s="16" t="str">
        <f ca="1">IF(COUNTIFS($CR$6:$CR$53,CR19,$BC$6:$BC$53,INDEX(T_Equipos[Grupo],MATCH(BD19,T_Equipos[NombreEquipo],0)))=1,"-","P."&amp;CR19&amp;" ("&amp;COUNTIFS($CR$6:$CR$53,CR19,$BC$6:$BC$53,INDEX(T_Equipos[Grupo],MATCH(BD19,T_Equipos[NombreEquipo],0)))&amp;")")</f>
        <v>P.3 (2)</v>
      </c>
      <c r="CT19" s="16">
        <f t="shared" ca="1" si="35"/>
        <v>1</v>
      </c>
      <c r="CU19" s="16">
        <f ca="1">CR19+COUNTIFS($CS$6:$CS$53,CS19,$CT$6:CT$53,"&gt;"&amp;CT19,$BC$6:$BC$53,INDEX(T_Equipos[Grupo],MATCH(BD19,T_Equipos[NombreEquipo],0)))</f>
        <v>3</v>
      </c>
      <c r="CV19" s="16" t="str">
        <f ca="1">IF(COUNTIFS($CU$6:$CU$53,CU19,$BC$6:$BC$53,INDEX(T_Equipos[Grupo],MATCH(BD19,T_Equipos[NombreEquipo],0)))=1,"-","P."&amp;CU19&amp;" ("&amp;COUNTIFS($CU$6:$CU$53,CU19,$BC$6:$BC$53,INDEX(T_Equipos[Grupo],MATCH(BD19,T_Equipos[NombreEquipo],0)))&amp;")")</f>
        <v>P.3 (2)</v>
      </c>
      <c r="CW19" s="16">
        <f t="shared" ca="1" si="36"/>
        <v>-5</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98</v>
      </c>
      <c r="DQ19" s="16" t="str">
        <f t="shared" ca="1" si="47"/>
        <v>United States</v>
      </c>
    </row>
    <row r="20" spans="1:121" ht="15.95" customHeight="1" thickBot="1">
      <c r="A20" s="16" t="s">
        <v>29</v>
      </c>
      <c r="B20" s="16" t="s">
        <v>99</v>
      </c>
      <c r="C20" s="16">
        <f>COUNTIF(Equipos!$C$2:$C$49,WORLDCUP!B20)</f>
        <v>4</v>
      </c>
      <c r="D20" s="16" t="str">
        <f t="shared" ref="D20:D25" si="71">IF(OR(AC20="",AD20=""),"Pendiente",IF(AC20&gt;AD20,"Local",IF(AC20&lt;AD20,"Visitante","Empate")))</f>
        <v>Local</v>
      </c>
      <c r="E20" s="16" t="str">
        <f t="shared" ref="E20:E25" ca="1" si="72">IF(D20="Pendiente","-",INDEX($BT$6:$BT$53,MATCH($AA20,$BD$6:$BD$53,0)))</f>
        <v>-</v>
      </c>
      <c r="F20" s="16" t="str">
        <f t="shared" ref="F20:F25" ca="1" si="73">IF(D20="Pendiente","-",INDEX($BT$6:$BT$53,MATCH($AF20,$BD$6:$BD$53,0)))</f>
        <v>-</v>
      </c>
      <c r="G20" s="16"/>
      <c r="H20" s="16" t="str">
        <f t="shared" ref="H20:H25" ca="1" si="74">IF(D20="Pendiente","-",INDEX($BZ$6:$BZ$53,MATCH($AA20,$BD$6:$BD$53,0)))</f>
        <v>-</v>
      </c>
      <c r="I20" s="16" t="str">
        <f t="shared" ref="I20:I25" ca="1" si="75">IF(D20="Pendiente","-",INDEX($BZ$6:$BZ$53,MATCH($AF20,$BD$6:$BD$53,0)))</f>
        <v>-</v>
      </c>
      <c r="J20" s="16"/>
      <c r="K20" s="16" t="str">
        <f t="shared" ref="K20:K25" ca="1" si="76">IF(D20="Pendiente","-",INDEX($CE$6:$CE$53,MATCH($AA20,$BD$6:$BD$53,0)))</f>
        <v>-</v>
      </c>
      <c r="L20" s="16" t="str">
        <f t="shared" ref="L20:L25" ca="1" si="77">IF(D20="Pendiente","-",INDEX($CE$6:$CE$53,MATCH($AF20,$BD$6:$BD$53,0)))</f>
        <v>-</v>
      </c>
      <c r="M20" s="16"/>
      <c r="N20" s="16" t="str">
        <f t="shared" ref="N20:N25" ca="1" si="78">IF(D20="Pendiente","-",INDEX($CH$6:$CH$53,MATCH($AA20,$BD$6:$BD$53,0)))</f>
        <v>-</v>
      </c>
      <c r="O20" s="16" t="str">
        <f t="shared" ref="O20:O25" ca="1" si="79">IF(D20="Pendiente","-",INDEX($CH$6:$CH$53,MATCH($AF20,$BD$6:$BD$53,0)))</f>
        <v>-</v>
      </c>
      <c r="P20" s="16"/>
      <c r="Q20" s="16" t="str">
        <f t="shared" ref="Q20:Q25" ca="1" si="80">IF(D20="Pendiente","-",INDEX($CN$6:$CN$53,MATCH($AA20,$BD$6:$BD$53,0)))</f>
        <v>-</v>
      </c>
      <c r="R20" s="16" t="str">
        <f t="shared" ref="R20:R25" ca="1" si="81">IF(D20="Pendiente","-",INDEX($CN$6:$CN$53,MATCH($AF20,$BD$6:$BD$53,0)))</f>
        <v>-</v>
      </c>
      <c r="S20" s="16"/>
      <c r="T20" s="16" t="str">
        <f t="shared" ref="T20:T25" ca="1" si="82">IF(D20="Pendiente","-",INDEX($CS$6:$CS$53,MATCH($AA20,$BD$6:$BD$53,0)))</f>
        <v>-</v>
      </c>
      <c r="U20" s="16" t="str">
        <f t="shared" ref="U20:U25" ca="1" si="83">IF(D20="Pendiente","-",INDEX($CS$6:$CS$53,MATCH($AF20,$BD$6:$BD$53,0)))</f>
        <v>-</v>
      </c>
      <c r="V20" s="17"/>
      <c r="W20" s="679" t="s">
        <v>99</v>
      </c>
      <c r="X20" s="24">
        <f ca="1">Horarios!C20</f>
        <v>46187</v>
      </c>
      <c r="Y20" s="25">
        <f ca="1">Horarios!C20</f>
        <v>46187</v>
      </c>
      <c r="Z20" s="26" t="str">
        <f>$Z$4</f>
        <v>R1</v>
      </c>
      <c r="AA20" s="27" t="str">
        <f ca="1">A21</f>
        <v>Brazil</v>
      </c>
      <c r="AB20" s="49" t="e" cm="1" vm="9">
        <f t="array" aca="1" ref="AB20" ca="1">Ver_flag_local</f>
        <v>#VALUE!</v>
      </c>
      <c r="AC20" s="50">
        <v>3</v>
      </c>
      <c r="AD20" s="51">
        <v>1</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1</v>
      </c>
      <c r="BF20" s="16">
        <f t="shared" ca="1" si="41"/>
        <v>3</v>
      </c>
      <c r="BG20" s="16">
        <f t="shared" ca="1" si="17"/>
        <v>0</v>
      </c>
      <c r="BH20" s="16">
        <f t="shared" ca="1" si="18"/>
        <v>1</v>
      </c>
      <c r="BI20" s="16">
        <f t="shared" ca="1" si="19"/>
        <v>2</v>
      </c>
      <c r="BJ20" s="16">
        <f t="shared" ca="1" si="20"/>
        <v>2</v>
      </c>
      <c r="BK20" s="16">
        <f t="shared" ca="1" si="21"/>
        <v>5</v>
      </c>
      <c r="BL20" s="16">
        <f t="shared" ca="1" si="42"/>
        <v>-3</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1</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P.3 (2)</v>
      </c>
      <c r="BU20" s="16">
        <f t="shared" ca="1" si="24"/>
        <v>0</v>
      </c>
      <c r="BV20" s="16">
        <f t="shared" ca="1" si="25"/>
        <v>1</v>
      </c>
      <c r="BW20" s="16">
        <f t="shared" ca="1" si="26"/>
        <v>0</v>
      </c>
      <c r="BX20" s="16">
        <f t="shared" ca="1" si="48"/>
        <v>1</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P.3 (2)</v>
      </c>
      <c r="CA20" s="16">
        <f t="shared" ca="1" si="27"/>
        <v>1</v>
      </c>
      <c r="CB20" s="16">
        <f t="shared" ca="1" si="28"/>
        <v>1</v>
      </c>
      <c r="CC20" s="16">
        <f t="shared" ca="1" si="49"/>
        <v>0</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P.3 (2)</v>
      </c>
      <c r="CF20" s="16">
        <f t="shared" ca="1" si="29"/>
        <v>1</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P.3 (2)</v>
      </c>
      <c r="CI20" s="16">
        <f t="shared" ca="1" si="30"/>
        <v>0</v>
      </c>
      <c r="CJ20" s="16">
        <f t="shared" ca="1" si="31"/>
        <v>1</v>
      </c>
      <c r="CK20" s="16">
        <f t="shared" ca="1" si="32"/>
        <v>0</v>
      </c>
      <c r="CL20" s="16">
        <f t="shared" ca="1" si="50"/>
        <v>1</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P.3 (2)</v>
      </c>
      <c r="CO20" s="16">
        <f t="shared" ca="1" si="33"/>
        <v>1</v>
      </c>
      <c r="CP20" s="16">
        <f t="shared" ca="1" si="34"/>
        <v>1</v>
      </c>
      <c r="CQ20" s="16">
        <f t="shared" ca="1" si="51"/>
        <v>0</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P.3 (2)</v>
      </c>
      <c r="CT20" s="16">
        <f t="shared" ca="1" si="35"/>
        <v>1</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P.3 (2)</v>
      </c>
      <c r="CW20" s="16">
        <f t="shared" ca="1" si="36"/>
        <v>-3</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100</v>
      </c>
      <c r="DQ20" s="16" t="str">
        <f t="shared" ca="1" si="47"/>
        <v>Australia</v>
      </c>
    </row>
    <row r="21" spans="1:121" ht="15.95" customHeight="1">
      <c r="A21" s="16" t="str">
        <f ca="1">+Equipos!B10</f>
        <v>Brazil</v>
      </c>
      <c r="B21" s="16"/>
      <c r="C21" s="16"/>
      <c r="D21" s="16" t="str">
        <f t="shared" si="71"/>
        <v>Visitante</v>
      </c>
      <c r="E21" s="16" t="str">
        <f t="shared" ca="1" si="72"/>
        <v>-</v>
      </c>
      <c r="F21" s="16" t="str">
        <f t="shared" ca="1" si="73"/>
        <v>-</v>
      </c>
      <c r="G21" s="16"/>
      <c r="H21" s="16" t="str">
        <f t="shared" ca="1" si="74"/>
        <v>-</v>
      </c>
      <c r="I21" s="16" t="str">
        <f t="shared" ca="1" si="75"/>
        <v>-</v>
      </c>
      <c r="J21" s="16"/>
      <c r="K21" s="16" t="str">
        <f t="shared" ca="1" si="76"/>
        <v>-</v>
      </c>
      <c r="L21" s="16" t="str">
        <f t="shared" ca="1" si="77"/>
        <v>-</v>
      </c>
      <c r="M21" s="16"/>
      <c r="N21" s="16" t="str">
        <f t="shared" ca="1" si="78"/>
        <v>-</v>
      </c>
      <c r="O21" s="16" t="str">
        <f t="shared" ca="1" si="79"/>
        <v>-</v>
      </c>
      <c r="P21" s="16"/>
      <c r="Q21" s="16" t="str">
        <f t="shared" ca="1" si="80"/>
        <v>-</v>
      </c>
      <c r="R21" s="16" t="str">
        <f t="shared" ca="1" si="81"/>
        <v>-</v>
      </c>
      <c r="S21" s="16"/>
      <c r="T21" s="16" t="str">
        <f t="shared" ca="1" si="82"/>
        <v>-</v>
      </c>
      <c r="U21" s="16" t="str">
        <f t="shared" ca="1" si="83"/>
        <v>-</v>
      </c>
      <c r="V21" s="17"/>
      <c r="W21" s="679"/>
      <c r="X21" s="24">
        <f ca="1">Horarios!C21</f>
        <v>46187.125</v>
      </c>
      <c r="Y21" s="25">
        <f ca="1">Horarios!C21</f>
        <v>46187.125</v>
      </c>
      <c r="Z21" s="26" t="str">
        <f>$Z$4</f>
        <v>R1</v>
      </c>
      <c r="AA21" s="27" t="str">
        <f ca="1">A23</f>
        <v>Haiti</v>
      </c>
      <c r="AB21" s="49" t="e" cm="1" vm="11">
        <f t="array" aca="1" ref="AB21" ca="1">Ver_flag_local</f>
        <v>#VALUE!</v>
      </c>
      <c r="AC21" s="50">
        <v>0</v>
      </c>
      <c r="AD21" s="51">
        <v>1</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9</v>
      </c>
      <c r="BF21" s="16">
        <f t="shared" ca="1" si="41"/>
        <v>3</v>
      </c>
      <c r="BG21" s="16">
        <f t="shared" ca="1" si="17"/>
        <v>3</v>
      </c>
      <c r="BH21" s="16">
        <f t="shared" ca="1" si="18"/>
        <v>0</v>
      </c>
      <c r="BI21" s="16">
        <f t="shared" ca="1" si="19"/>
        <v>0</v>
      </c>
      <c r="BJ21" s="16">
        <f t="shared" ca="1" si="20"/>
        <v>7</v>
      </c>
      <c r="BK21" s="16">
        <f t="shared" ca="1" si="21"/>
        <v>0</v>
      </c>
      <c r="BL21" s="16">
        <f t="shared" ca="1" si="42"/>
        <v>7</v>
      </c>
      <c r="BM21" s="16" t="str">
        <f t="shared" ca="1" si="22"/>
        <v>1D</v>
      </c>
      <c r="BN21" s="16" t="str">
        <f t="shared" ca="1" si="23"/>
        <v>1D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9</v>
      </c>
      <c r="BS21" s="16">
        <f ca="1">BP21+COUNTIFS($BQ$6:$BQ$53,BQ21,$BR$6:BR$53,"&gt;"&amp;BR21,$BC$6:$BC$53,INDEX(T_Equipos[Grupo],MATCH(BD21,T_Equipos[NombreEquipo],0)))</f>
        <v>1</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1</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1</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1</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1</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1</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1</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1</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1</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1</v>
      </c>
      <c r="DE21" s="16"/>
      <c r="DF21" s="16">
        <f t="shared" ca="1" si="52"/>
        <v>1</v>
      </c>
      <c r="DG21" s="16" t="str">
        <f ca="1">IF(DB21="-","-",COUNTIFS(DF$6:DF$53,"&lt;"&amp;DF21,$BC$6:$BC$53,INDEX(T_Equipos[Grupo],MATCH(BD21,T_Equipos[NombreEquipo],0))))</f>
        <v>-</v>
      </c>
      <c r="DH21" s="16">
        <f ca="1">DA21+COUNTIFS(DB$6:DB$53,DB21,DG$6:DG$53,"&lt;"&amp;DG21,$BC$6:$BC$53,INDEX(T_Equipos[Grupo],MATCH(BD21,T_Equipos[NombreEquipo],0)))</f>
        <v>1</v>
      </c>
      <c r="DI21" s="16"/>
      <c r="DJ21" s="16">
        <f t="shared" ca="1" si="38"/>
        <v>4</v>
      </c>
      <c r="DK21" s="16">
        <f t="shared" ca="1" si="39"/>
        <v>12</v>
      </c>
      <c r="DL21" s="16">
        <f t="shared" ca="1" si="40"/>
        <v>1</v>
      </c>
      <c r="DM21" s="16" t="str">
        <f t="shared" ca="1" si="46"/>
        <v>4.1</v>
      </c>
      <c r="DN21" s="16" cm="1">
        <f t="array" aca="1" ref="DN21" ca="1">OFFSET(Horarios!$P$3,DJ21-1,0,DL21,1)</f>
        <v>4</v>
      </c>
      <c r="DO21" s="16"/>
      <c r="DP21" s="16" t="s">
        <v>101</v>
      </c>
      <c r="DQ21" s="16" t="str">
        <f t="shared" ca="1" si="47"/>
        <v>Paraguay</v>
      </c>
    </row>
    <row r="22" spans="1:121" ht="15.95" customHeight="1">
      <c r="A22" s="16" t="str">
        <f ca="1">+Equipos!B11</f>
        <v>Morocco</v>
      </c>
      <c r="B22" s="16"/>
      <c r="C22" s="16"/>
      <c r="D22" s="16" t="str">
        <f t="shared" si="71"/>
        <v>Visitante</v>
      </c>
      <c r="E22" s="16" t="str">
        <f t="shared" ca="1" si="72"/>
        <v>-</v>
      </c>
      <c r="F22" s="16" t="str">
        <f t="shared" ca="1" si="73"/>
        <v>-</v>
      </c>
      <c r="G22" s="16"/>
      <c r="H22" s="16" t="str">
        <f t="shared" ca="1" si="74"/>
        <v>-</v>
      </c>
      <c r="I22" s="16" t="str">
        <f t="shared" ca="1" si="75"/>
        <v>-</v>
      </c>
      <c r="J22" s="16"/>
      <c r="K22" s="16" t="str">
        <f t="shared" ca="1" si="76"/>
        <v>-</v>
      </c>
      <c r="L22" s="16" t="str">
        <f t="shared" ca="1" si="77"/>
        <v>-</v>
      </c>
      <c r="M22" s="16"/>
      <c r="N22" s="16" t="str">
        <f t="shared" ca="1" si="78"/>
        <v>-</v>
      </c>
      <c r="O22" s="16" t="str">
        <f t="shared" ca="1" si="79"/>
        <v>-</v>
      </c>
      <c r="P22" s="16"/>
      <c r="Q22" s="16" t="str">
        <f t="shared" ca="1" si="80"/>
        <v>-</v>
      </c>
      <c r="R22" s="16" t="str">
        <f t="shared" ca="1" si="81"/>
        <v>-</v>
      </c>
      <c r="S22" s="16"/>
      <c r="T22" s="16" t="str">
        <f t="shared" ca="1" si="82"/>
        <v>-</v>
      </c>
      <c r="U22" s="16" t="str">
        <f t="shared" ca="1" si="83"/>
        <v>-</v>
      </c>
      <c r="V22" s="17"/>
      <c r="W22" s="679"/>
      <c r="X22" s="24">
        <f ca="1">Horarios!C22</f>
        <v>46193</v>
      </c>
      <c r="Y22" s="25">
        <f ca="1">Horarios!C22</f>
        <v>46193</v>
      </c>
      <c r="Z22" s="26" t="str">
        <f>$Z$6</f>
        <v>R2</v>
      </c>
      <c r="AA22" s="27" t="str">
        <f ca="1">A24</f>
        <v>Scotland</v>
      </c>
      <c r="AB22" s="49" t="e" cm="1" vm="12">
        <f t="array" aca="1" ref="AB22" ca="1">Ver_flag_local</f>
        <v>#VALUE!</v>
      </c>
      <c r="AC22" s="50">
        <v>1</v>
      </c>
      <c r="AD22" s="51">
        <v>2</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9</v>
      </c>
      <c r="AN22" s="36">
        <f t="shared" ca="1" si="87"/>
        <v>3</v>
      </c>
      <c r="AO22" s="36">
        <f t="shared" ca="1" si="87"/>
        <v>3</v>
      </c>
      <c r="AP22" s="36">
        <f t="shared" ca="1" si="87"/>
        <v>0</v>
      </c>
      <c r="AQ22" s="36">
        <f t="shared" ca="1" si="87"/>
        <v>0</v>
      </c>
      <c r="AR22" s="36">
        <f t="shared" ca="1" si="87"/>
        <v>12</v>
      </c>
      <c r="AS22" s="36">
        <f t="shared" ca="1" si="87"/>
        <v>2</v>
      </c>
      <c r="AT22" s="41">
        <f t="shared" ca="1" si="87"/>
        <v>10</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9</v>
      </c>
      <c r="BK22" s="16">
        <f t="shared" ca="1" si="21"/>
        <v>3</v>
      </c>
      <c r="BL22" s="16">
        <f t="shared" ca="1" si="42"/>
        <v>6</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102</v>
      </c>
      <c r="DQ22" s="16" t="str">
        <f t="shared" ca="1" si="47"/>
        <v>Germany</v>
      </c>
    </row>
    <row r="23" spans="1:121" ht="15.95" customHeight="1">
      <c r="A23" s="16" t="str">
        <f ca="1">+Equipos!B12</f>
        <v>Haiti</v>
      </c>
      <c r="B23" s="16"/>
      <c r="C23" s="16"/>
      <c r="D23" s="16" t="str">
        <f t="shared" si="71"/>
        <v>Local</v>
      </c>
      <c r="E23" s="16" t="str">
        <f t="shared" ca="1" si="72"/>
        <v>-</v>
      </c>
      <c r="F23" s="16" t="str">
        <f t="shared" ca="1" si="73"/>
        <v>-</v>
      </c>
      <c r="G23" s="16"/>
      <c r="H23" s="16" t="str">
        <f t="shared" ca="1" si="74"/>
        <v>-</v>
      </c>
      <c r="I23" s="16" t="str">
        <f t="shared" ca="1" si="75"/>
        <v>-</v>
      </c>
      <c r="J23" s="16"/>
      <c r="K23" s="16" t="str">
        <f t="shared" ca="1" si="76"/>
        <v>-</v>
      </c>
      <c r="L23" s="16" t="str">
        <f t="shared" ca="1" si="77"/>
        <v>-</v>
      </c>
      <c r="M23" s="16"/>
      <c r="N23" s="16" t="str">
        <f t="shared" ca="1" si="78"/>
        <v>-</v>
      </c>
      <c r="O23" s="16" t="str">
        <f t="shared" ca="1" si="79"/>
        <v>-</v>
      </c>
      <c r="P23" s="16"/>
      <c r="Q23" s="16" t="str">
        <f t="shared" ca="1" si="80"/>
        <v>-</v>
      </c>
      <c r="R23" s="16" t="str">
        <f t="shared" ca="1" si="81"/>
        <v>-</v>
      </c>
      <c r="S23" s="16"/>
      <c r="T23" s="16" t="str">
        <f t="shared" ca="1" si="82"/>
        <v>-</v>
      </c>
      <c r="U23" s="16" t="str">
        <f t="shared" ca="1" si="83"/>
        <v>-</v>
      </c>
      <c r="V23" s="17"/>
      <c r="W23" s="679"/>
      <c r="X23" s="24">
        <f ca="1">Horarios!C23</f>
        <v>46193.104166666664</v>
      </c>
      <c r="Y23" s="25">
        <f ca="1">Horarios!C23</f>
        <v>46193.104166666664</v>
      </c>
      <c r="Z23" s="26" t="str">
        <f>$Z$6</f>
        <v>R2</v>
      </c>
      <c r="AA23" s="27" t="str">
        <f ca="1">A21</f>
        <v>Brazil</v>
      </c>
      <c r="AB23" s="49" t="e" cm="1" vm="9">
        <f t="array" aca="1" ref="AB23" ca="1">Ver_flag_local</f>
        <v>#VALUE!</v>
      </c>
      <c r="AC23" s="50">
        <v>6</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0">
        <f t="array" aca="1" ref="AK23" ca="1">Ver_flag_visit</f>
        <v>#VALUE!</v>
      </c>
      <c r="AL23" s="37" t="str">
        <f ca="1">IFERROR(INDEX($BD$6:$BD$53,MATCH(AI23,$BN$6:$BN$53,0)),"")</f>
        <v>Morocco</v>
      </c>
      <c r="AM23" s="38">
        <f t="shared" ca="1" si="87"/>
        <v>6</v>
      </c>
      <c r="AN23" s="39">
        <f t="shared" ca="1" si="87"/>
        <v>3</v>
      </c>
      <c r="AO23" s="39">
        <f t="shared" ca="1" si="87"/>
        <v>2</v>
      </c>
      <c r="AP23" s="39">
        <f t="shared" ca="1" si="87"/>
        <v>0</v>
      </c>
      <c r="AQ23" s="39">
        <f t="shared" ca="1" si="87"/>
        <v>1</v>
      </c>
      <c r="AR23" s="39">
        <f t="shared" ca="1" si="87"/>
        <v>7</v>
      </c>
      <c r="AS23" s="39">
        <f t="shared" ca="1" si="87"/>
        <v>4</v>
      </c>
      <c r="AT23" s="43">
        <f t="shared" ca="1" si="87"/>
        <v>3</v>
      </c>
      <c r="AU23" s="330">
        <f ca="1">INDEX($DL$6:$DL$53,MATCH(AI23,$DP$6:$DP$53,0))</f>
        <v>1</v>
      </c>
      <c r="AV23" s="182" t="str">
        <f ca="1">INDEX($BD$6:$BD$53,MATCH(AI23,$BM$6:$BM$53,0))</f>
        <v>Morocco</v>
      </c>
      <c r="AW23" s="210"/>
      <c r="AX23" s="171"/>
      <c r="AY23" s="203" t="str">
        <f ca="1">+A22</f>
        <v>Morocco</v>
      </c>
      <c r="AZ23" s="204"/>
      <c r="BA23" s="176"/>
      <c r="BC23" s="16" t="str">
        <f ca="1">+INDEX(T_Equipos[Grupo],MATCH(WORLDCUP!BD23,T_Equipos[NombreEquipo],0))</f>
        <v>E</v>
      </c>
      <c r="BD23" s="16" t="str">
        <f ca="1">+Equipos!B19</f>
        <v>Curaçao</v>
      </c>
      <c r="BE23" s="16">
        <f t="shared" ca="1" si="16"/>
        <v>0</v>
      </c>
      <c r="BF23" s="16">
        <f t="shared" ca="1" si="41"/>
        <v>3</v>
      </c>
      <c r="BG23" s="16">
        <f t="shared" ca="1" si="17"/>
        <v>0</v>
      </c>
      <c r="BH23" s="16">
        <f t="shared" ca="1" si="18"/>
        <v>0</v>
      </c>
      <c r="BI23" s="16">
        <f t="shared" ca="1" si="19"/>
        <v>3</v>
      </c>
      <c r="BJ23" s="16">
        <f t="shared" ca="1" si="20"/>
        <v>1</v>
      </c>
      <c r="BK23" s="16">
        <f t="shared" ca="1" si="21"/>
        <v>10</v>
      </c>
      <c r="BL23" s="16">
        <f t="shared" ca="1" si="42"/>
        <v>-9</v>
      </c>
      <c r="BM23" s="16" t="str">
        <f t="shared" ca="1" si="22"/>
        <v>4E</v>
      </c>
      <c r="BN23" s="16" t="str">
        <f t="shared" ca="1" si="23"/>
        <v>4E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0</v>
      </c>
      <c r="BS23" s="16">
        <f ca="1">BP23+COUNTIFS($BQ$6:$BQ$53,BQ23,$BR$6:BR$53,"&gt;"&amp;BR23,$BC$6:$BC$53,INDEX(T_Equipos[Grupo],MATCH(BD23,T_Equipos[NombreEquipo],0)))</f>
        <v>4</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4</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4</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4</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4</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4</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4</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4</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4</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4</v>
      </c>
      <c r="DE23" s="16"/>
      <c r="DF23" s="16">
        <f t="shared" ca="1" si="52"/>
        <v>4</v>
      </c>
      <c r="DG23" s="16" t="str">
        <f ca="1">IF(DB23="-","-",COUNTIFS(DF$6:DF$53,"&lt;"&amp;DF23,$BC$6:$BC$53,INDEX(T_Equipos[Grupo],MATCH(BD23,T_Equipos[NombreEquipo],0))))</f>
        <v>-</v>
      </c>
      <c r="DH23" s="16">
        <f ca="1">DA23+COUNTIFS(DB$6:DB$53,DB23,DG$6:DG$53,"&lt;"&amp;DG23,$BC$6:$BC$53,INDEX(T_Equipos[Grupo],MATCH(BD23,T_Equipos[NombreEquipo],0)))</f>
        <v>4</v>
      </c>
      <c r="DI23" s="16"/>
      <c r="DJ23" s="16">
        <f t="shared" ca="1" si="38"/>
        <v>2</v>
      </c>
      <c r="DK23" s="16">
        <f t="shared" ca="1" si="39"/>
        <v>12</v>
      </c>
      <c r="DL23" s="16">
        <f t="shared" ca="1" si="40"/>
        <v>1</v>
      </c>
      <c r="DM23" s="16" t="str">
        <f t="shared" ca="1" si="46"/>
        <v>2.1</v>
      </c>
      <c r="DN23" s="16" cm="1">
        <f t="array" aca="1" ref="DN23" ca="1">OFFSET(Horarios!$P$3,DJ23-1,0,DL23,1)</f>
        <v>2</v>
      </c>
      <c r="DO23" s="16"/>
      <c r="DP23" s="16" t="s">
        <v>103</v>
      </c>
      <c r="DQ23" s="16" t="str">
        <f t="shared" ca="1" si="47"/>
        <v>Ecuador</v>
      </c>
    </row>
    <row r="24" spans="1:121" ht="15.95" customHeight="1">
      <c r="A24" s="16" t="str">
        <f ca="1">+Equipos!B13</f>
        <v>Scotland</v>
      </c>
      <c r="B24" s="16"/>
      <c r="C24" s="16"/>
      <c r="D24" s="16" t="str">
        <f t="shared" si="71"/>
        <v>Visitante</v>
      </c>
      <c r="E24" s="16" t="str">
        <f t="shared" ca="1" si="72"/>
        <v>-</v>
      </c>
      <c r="F24" s="16" t="str">
        <f t="shared" ca="1" si="73"/>
        <v>-</v>
      </c>
      <c r="G24" s="16"/>
      <c r="H24" s="16" t="str">
        <f t="shared" ca="1" si="74"/>
        <v>-</v>
      </c>
      <c r="I24" s="16" t="str">
        <f t="shared" ca="1" si="75"/>
        <v>-</v>
      </c>
      <c r="J24" s="16"/>
      <c r="K24" s="16" t="str">
        <f t="shared" ca="1" si="76"/>
        <v>-</v>
      </c>
      <c r="L24" s="16" t="str">
        <f t="shared" ca="1" si="77"/>
        <v>-</v>
      </c>
      <c r="M24" s="16"/>
      <c r="N24" s="16" t="str">
        <f t="shared" ca="1" si="78"/>
        <v>-</v>
      </c>
      <c r="O24" s="16" t="str">
        <f t="shared" ca="1" si="79"/>
        <v>-</v>
      </c>
      <c r="P24" s="16"/>
      <c r="Q24" s="16" t="str">
        <f t="shared" ca="1" si="80"/>
        <v>-</v>
      </c>
      <c r="R24" s="16" t="str">
        <f t="shared" ca="1" si="81"/>
        <v>-</v>
      </c>
      <c r="S24" s="16"/>
      <c r="T24" s="16" t="str">
        <f t="shared" ca="1" si="82"/>
        <v>-</v>
      </c>
      <c r="U24" s="16" t="str">
        <f t="shared" ca="1" si="83"/>
        <v>-</v>
      </c>
      <c r="V24" s="17"/>
      <c r="W24" s="679"/>
      <c r="X24" s="24">
        <f ca="1">Horarios!C24</f>
        <v>46198</v>
      </c>
      <c r="Y24" s="25">
        <f ca="1">Horarios!C24</f>
        <v>46198</v>
      </c>
      <c r="Z24" s="26" t="str">
        <f>$Z$8</f>
        <v>R3</v>
      </c>
      <c r="AA24" s="27" t="str">
        <f ca="1">A24</f>
        <v>Scotland</v>
      </c>
      <c r="AB24" s="49" t="e" cm="1" vm="12">
        <f t="array" aca="1" ref="AB24" ca="1">Ver_flag_local</f>
        <v>#VALUE!</v>
      </c>
      <c r="AC24" s="50">
        <v>1</v>
      </c>
      <c r="AD24" s="51">
        <v>3</v>
      </c>
      <c r="AE24" s="595" t="e" cm="1" vm="9">
        <f t="array" aca="1" ref="AE24" ca="1">Ver_flag_visit</f>
        <v>#VALUE!</v>
      </c>
      <c r="AF24" s="32" t="str">
        <f ca="1">A21</f>
        <v>Brazil</v>
      </c>
      <c r="AG24" s="323">
        <f t="shared" si="84"/>
        <v>1</v>
      </c>
      <c r="AH24" s="195">
        <v>49</v>
      </c>
      <c r="AI24" s="181" t="str">
        <f t="shared" si="88"/>
        <v>3C</v>
      </c>
      <c r="AJ24" s="42">
        <v>3</v>
      </c>
      <c r="AK24" s="602" t="e" cm="1" vm="12">
        <f t="array" aca="1" ref="AK24" ca="1">Ver_flag_visit</f>
        <v>#VALUE!</v>
      </c>
      <c r="AL24" s="37" t="str">
        <f ca="1">IFERROR(INDEX($BD$6:$BD$53,MATCH(AI24,$BN$6:$BN$53,0)),"")</f>
        <v>Scotland</v>
      </c>
      <c r="AM24" s="38">
        <f t="shared" ca="1" si="87"/>
        <v>3</v>
      </c>
      <c r="AN24" s="39">
        <f t="shared" ca="1" si="87"/>
        <v>3</v>
      </c>
      <c r="AO24" s="39">
        <f t="shared" ca="1" si="87"/>
        <v>1</v>
      </c>
      <c r="AP24" s="39">
        <f t="shared" ca="1" si="87"/>
        <v>0</v>
      </c>
      <c r="AQ24" s="39">
        <f t="shared" ca="1" si="87"/>
        <v>2</v>
      </c>
      <c r="AR24" s="39">
        <f t="shared" ca="1" si="87"/>
        <v>3</v>
      </c>
      <c r="AS24" s="39">
        <f t="shared" ca="1" si="87"/>
        <v>5</v>
      </c>
      <c r="AT24" s="43">
        <f t="shared" ca="1" si="87"/>
        <v>-2</v>
      </c>
      <c r="AU24" s="330">
        <f ca="1">INDEX($DL$6:$DL$53,MATCH(AI24,$DP$6:$DP$53,0))</f>
        <v>1</v>
      </c>
      <c r="AV24" s="182" t="str">
        <f ca="1">INDEX($BD$6:$BD$53,MATCH(AI24,$BM$6:$BM$53,0))</f>
        <v>Scotland</v>
      </c>
      <c r="AW24" s="210"/>
      <c r="AX24" s="171"/>
      <c r="AY24" s="201" t="str">
        <f ca="1">+A23</f>
        <v>Haiti</v>
      </c>
      <c r="AZ24" s="202"/>
      <c r="BA24" s="176"/>
      <c r="BC24" s="16" t="str">
        <f ca="1">+INDEX(T_Equipos[Grupo],MATCH(WORLDCUP!BD24,T_Equipos[NombreEquipo],0))</f>
        <v>E</v>
      </c>
      <c r="BD24" s="16" t="str">
        <f ca="1">+Equipos!B20</f>
        <v>Ivory Coast</v>
      </c>
      <c r="BE24" s="16">
        <f t="shared" ca="1" si="16"/>
        <v>4</v>
      </c>
      <c r="BF24" s="16">
        <f t="shared" ca="1" si="41"/>
        <v>3</v>
      </c>
      <c r="BG24" s="16">
        <f t="shared" ca="1" si="17"/>
        <v>1</v>
      </c>
      <c r="BH24" s="16">
        <f t="shared" ca="1" si="18"/>
        <v>1</v>
      </c>
      <c r="BI24" s="16">
        <f t="shared" ca="1" si="19"/>
        <v>1</v>
      </c>
      <c r="BJ24" s="16">
        <f t="shared" ca="1" si="20"/>
        <v>6</v>
      </c>
      <c r="BK24" s="16">
        <f t="shared" ca="1" si="21"/>
        <v>5</v>
      </c>
      <c r="BL24" s="16">
        <f t="shared" ca="1" si="42"/>
        <v>1</v>
      </c>
      <c r="BM24" s="16" t="str">
        <f t="shared" ca="1" si="22"/>
        <v>3E</v>
      </c>
      <c r="BN24" s="16" t="str">
        <f t="shared" ca="1" si="23"/>
        <v>3E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4</v>
      </c>
      <c r="BS24" s="16">
        <f ca="1">BP24+COUNTIFS($BQ$6:$BQ$53,BQ24,$BR$6:BR$53,"&gt;"&amp;BR24,$BC$6:$BC$53,INDEX(T_Equipos[Grupo],MATCH(BD24,T_Equipos[NombreEquipo],0)))</f>
        <v>2</v>
      </c>
      <c r="BT24" s="16" t="str">
        <f ca="1">IF(COUNTIFS($BS$6:$BS$53,BS24,$BC$6:$BC$53,INDEX(T_Equipos[Grupo],MATCH(BD24,T_Equipos[NombreEquipo],0)))=1,"-","P."&amp;BS24&amp;" ("&amp;COUNTIFS($BS$6:$BS$53,BS24,$BC$6:$BC$53,INDEX(T_Equipos[Grupo],MATCH(BD24,T_Equipos[NombreEquipo],0)))&amp;")")</f>
        <v>P.2 (2)</v>
      </c>
      <c r="BU24" s="16">
        <f t="shared" ca="1" si="24"/>
        <v>0</v>
      </c>
      <c r="BV24" s="16">
        <f t="shared" ca="1" si="25"/>
        <v>1</v>
      </c>
      <c r="BW24" s="16">
        <f t="shared" ca="1" si="26"/>
        <v>0</v>
      </c>
      <c r="BX24" s="16">
        <f t="shared" ca="1" si="48"/>
        <v>1</v>
      </c>
      <c r="BY24" s="16">
        <f ca="1">BS24+COUNTIFS($BT$6:$BT$53,BT24,$BX$6:BX$53,"&gt;"&amp;BX24,$BC$6:$BC$53,INDEX(T_Equipos[Grupo],MATCH(BD24,T_Equipos[NombreEquipo],0)))</f>
        <v>2</v>
      </c>
      <c r="BZ24" s="16" t="str">
        <f ca="1">IF(COUNTIFS($BY$6:$BY$53,BY24,$BC$6:$BC$53,INDEX(T_Equipos[Grupo],MATCH(BD24,T_Equipos[NombreEquipo],0)))=1,"-","P."&amp;BY24&amp;" ("&amp;COUNTIFS($BY$6:$BY$53,BY24,$BC$6:$BC$53,INDEX(T_Equipos[Grupo],MATCH(BD24,T_Equipos[NombreEquipo],0)))&amp;")")</f>
        <v>P.2 (2)</v>
      </c>
      <c r="CA24" s="16">
        <f t="shared" ca="1" si="27"/>
        <v>2</v>
      </c>
      <c r="CB24" s="16">
        <f t="shared" ca="1" si="28"/>
        <v>2</v>
      </c>
      <c r="CC24" s="16">
        <f t="shared" ca="1" si="49"/>
        <v>0</v>
      </c>
      <c r="CD24" s="16">
        <f ca="1">BY24+COUNTIFS($BZ$6:$BZ$53,BZ24,$CC$6:CC$53,"&gt;"&amp;CC24,$BC$6:$BC$53,INDEX(T_Equipos[Grupo],MATCH(BD24,T_Equipos[NombreEquipo],0)))</f>
        <v>2</v>
      </c>
      <c r="CE24" s="16" t="str">
        <f ca="1">IF(COUNTIFS($CD$6:$CD$53,CD24,$BC$6:$BC$53,INDEX(T_Equipos[Grupo],MATCH(BD24,T_Equipos[NombreEquipo],0)))=1,"-","P."&amp;CD24&amp;" ("&amp;COUNTIFS($CD$6:$CD$53,CD24,$BC$6:$BC$53,INDEX(T_Equipos[Grupo],MATCH(BD24,T_Equipos[NombreEquipo],0)))&amp;")")</f>
        <v>P.2 (2)</v>
      </c>
      <c r="CF24" s="16">
        <f t="shared" ca="1" si="29"/>
        <v>2</v>
      </c>
      <c r="CG24" s="16">
        <f ca="1">CD24+COUNTIFS($CE$6:$CE$53,CE24,$CF$6:CF$53,"&gt;"&amp;CF24,$BC$6:$BC$53,INDEX(T_Equipos[Grupo],MATCH(BD24,T_Equipos[NombreEquipo],0)))</f>
        <v>2</v>
      </c>
      <c r="CH24" s="16" t="str">
        <f ca="1">IF(COUNTIFS($CG$6:$CG$53,CG24,$BC$6:$BC$53,INDEX(T_Equipos[Grupo],MATCH(BD24,T_Equipos[NombreEquipo],0)))=1,"-","P."&amp;CG24&amp;" ("&amp;COUNTIFS($CG$6:$CG$53,CG24,$BC$6:$BC$53,INDEX(T_Equipos[Grupo],MATCH(BD24,T_Equipos[NombreEquipo],0)))&amp;")")</f>
        <v>P.2 (2)</v>
      </c>
      <c r="CI24" s="16">
        <f t="shared" ca="1" si="30"/>
        <v>0</v>
      </c>
      <c r="CJ24" s="16">
        <f t="shared" ca="1" si="31"/>
        <v>1</v>
      </c>
      <c r="CK24" s="16">
        <f t="shared" ca="1" si="32"/>
        <v>0</v>
      </c>
      <c r="CL24" s="16">
        <f t="shared" ca="1" si="50"/>
        <v>1</v>
      </c>
      <c r="CM24" s="16">
        <f ca="1">CG24+COUNTIFS($CH$6:$CH$53,CH24,$CL$6:CL$53,"&gt;"&amp;CL24,$BC$6:$BC$53,INDEX(T_Equipos[Grupo],MATCH(BD24,T_Equipos[NombreEquipo],0)))</f>
        <v>2</v>
      </c>
      <c r="CN24" s="16" t="str">
        <f ca="1">IF(COUNTIFS($CM$6:$CM$53,CM24,$BC$6:$BC$53,INDEX(T_Equipos[Grupo],MATCH(BD24,T_Equipos[NombreEquipo],0)))=1,"-","P."&amp;CM24&amp;" ("&amp;COUNTIFS($CM$6:$CM$53,CM24,$BC$6:$BC$53,INDEX(T_Equipos[Grupo],MATCH(BD24,T_Equipos[NombreEquipo],0)))&amp;")")</f>
        <v>P.2 (2)</v>
      </c>
      <c r="CO24" s="16">
        <f t="shared" ca="1" si="33"/>
        <v>2</v>
      </c>
      <c r="CP24" s="16">
        <f t="shared" ca="1" si="34"/>
        <v>2</v>
      </c>
      <c r="CQ24" s="16">
        <f t="shared" ca="1" si="51"/>
        <v>0</v>
      </c>
      <c r="CR24" s="16">
        <f ca="1">CM24+COUNTIFS($CN$6:$CN$53,CN24,$CQ$6:CQ$53,"&gt;"&amp;CQ24,$BC$6:$BC$53,INDEX(T_Equipos[Grupo],MATCH(BD24,T_Equipos[NombreEquipo],0)))</f>
        <v>2</v>
      </c>
      <c r="CS24" s="16" t="str">
        <f ca="1">IF(COUNTIFS($CR$6:$CR$53,CR24,$BC$6:$BC$53,INDEX(T_Equipos[Grupo],MATCH(BD24,T_Equipos[NombreEquipo],0)))=1,"-","P."&amp;CR24&amp;" ("&amp;COUNTIFS($CR$6:$CR$53,CR24,$BC$6:$BC$53,INDEX(T_Equipos[Grupo],MATCH(BD24,T_Equipos[NombreEquipo],0)))&amp;")")</f>
        <v>P.2 (2)</v>
      </c>
      <c r="CT24" s="16">
        <f t="shared" ca="1" si="35"/>
        <v>2</v>
      </c>
      <c r="CU24" s="16">
        <f ca="1">CR24+COUNTIFS($CS$6:$CS$53,CS24,$CT$6:CT$53,"&gt;"&amp;CT24,$BC$6:$BC$53,INDEX(T_Equipos[Grupo],MATCH(BD24,T_Equipos[NombreEquipo],0)))</f>
        <v>2</v>
      </c>
      <c r="CV24" s="16" t="str">
        <f ca="1">IF(COUNTIFS($CU$6:$CU$53,CU24,$BC$6:$BC$53,INDEX(T_Equipos[Grupo],MATCH(BD24,T_Equipos[NombreEquipo],0)))=1,"-","P."&amp;CU24&amp;" ("&amp;COUNTIFS($CU$6:$CU$53,CU24,$BC$6:$BC$53,INDEX(T_Equipos[Grupo],MATCH(BD24,T_Equipos[NombreEquipo],0)))&amp;")")</f>
        <v>P.2 (2)</v>
      </c>
      <c r="CW24" s="16">
        <f t="shared" ca="1" si="36"/>
        <v>1</v>
      </c>
      <c r="CX24" s="16">
        <f ca="1">CU24+COUNTIFS($CV$6:$CV$53,CV24,$CW$6:CW$53,"&gt;"&amp;CW24,$BC$6:$BC$53,INDEX(T_Equipos[Grupo],MATCH(BD24,T_Equipos[NombreEquipo],0)))</f>
        <v>3</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3</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3</v>
      </c>
      <c r="DE24" s="16"/>
      <c r="DF24" s="16">
        <f t="shared" ca="1" si="52"/>
        <v>3</v>
      </c>
      <c r="DG24" s="16" t="str">
        <f ca="1">IF(DB24="-","-",COUNTIFS(DF$6:DF$53,"&lt;"&amp;DF24,$BC$6:$BC$53,INDEX(T_Equipos[Grupo],MATCH(BD24,T_Equipos[NombreEquipo],0))))</f>
        <v>-</v>
      </c>
      <c r="DH24" s="16">
        <f ca="1">DA24+COUNTIFS(DB$6:DB$53,DB24,DG$6:DG$53,"&lt;"&amp;DG24,$BC$6:$BC$53,INDEX(T_Equipos[Grupo],MATCH(BD24,T_Equipos[NombreEquipo],0)))</f>
        <v>3</v>
      </c>
      <c r="DI24" s="16"/>
      <c r="DJ24" s="16">
        <f t="shared" ca="1" si="38"/>
        <v>3</v>
      </c>
      <c r="DK24" s="16">
        <f t="shared" ca="1" si="39"/>
        <v>12</v>
      </c>
      <c r="DL24" s="16">
        <f t="shared" ca="1" si="40"/>
        <v>1</v>
      </c>
      <c r="DM24" s="16" t="str">
        <f t="shared" ca="1" si="46"/>
        <v>3.1</v>
      </c>
      <c r="DN24" s="16" cm="1">
        <f t="array" aca="1" ref="DN24" ca="1">OFFSET(Horarios!$P$3,DJ24-1,0,DL24,1)</f>
        <v>3</v>
      </c>
      <c r="DO24" s="16"/>
      <c r="DP24" s="16" t="s">
        <v>104</v>
      </c>
      <c r="DQ24" s="16" t="str">
        <f t="shared" ca="1" si="47"/>
        <v>Ivory Coast</v>
      </c>
    </row>
    <row r="25" spans="1:121" ht="15.95"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80"/>
      <c r="X25" s="28">
        <f ca="1">Horarios!C25</f>
        <v>46198</v>
      </c>
      <c r="Y25" s="29">
        <f ca="1">Horarios!C25</f>
        <v>46198</v>
      </c>
      <c r="Z25" s="30" t="str">
        <f>$Z$8</f>
        <v>R3</v>
      </c>
      <c r="AA25" s="31" t="str">
        <f ca="1">A22</f>
        <v>Morocco</v>
      </c>
      <c r="AB25" s="52" t="e" cm="1" vm="10">
        <f t="array" aca="1" ref="AB25" ca="1">Ver_flag_local</f>
        <v>#VALUE!</v>
      </c>
      <c r="AC25" s="53">
        <v>4</v>
      </c>
      <c r="AD25" s="54">
        <v>0</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0</v>
      </c>
      <c r="AS25" s="47">
        <f t="shared" ca="1" si="87"/>
        <v>11</v>
      </c>
      <c r="AT25" s="48">
        <f t="shared" ca="1" si="87"/>
        <v>-11</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4</v>
      </c>
      <c r="BF25" s="16">
        <f t="shared" ca="1" si="41"/>
        <v>3</v>
      </c>
      <c r="BG25" s="16">
        <f t="shared" ca="1" si="17"/>
        <v>1</v>
      </c>
      <c r="BH25" s="16">
        <f t="shared" ca="1" si="18"/>
        <v>1</v>
      </c>
      <c r="BI25" s="16">
        <f t="shared" ca="1" si="19"/>
        <v>1</v>
      </c>
      <c r="BJ25" s="16">
        <f t="shared" ca="1" si="20"/>
        <v>7</v>
      </c>
      <c r="BK25" s="16">
        <f t="shared" ca="1" si="21"/>
        <v>5</v>
      </c>
      <c r="BL25" s="16">
        <f t="shared" ca="1" si="42"/>
        <v>2</v>
      </c>
      <c r="BM25" s="16" t="str">
        <f t="shared" ca="1" si="22"/>
        <v>2E</v>
      </c>
      <c r="BN25" s="16" t="str">
        <f t="shared" ca="1" si="23"/>
        <v>2E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4</v>
      </c>
      <c r="BS25" s="16">
        <f ca="1">BP25+COUNTIFS($BQ$6:$BQ$53,BQ25,$BR$6:BR$53,"&gt;"&amp;BR25,$BC$6:$BC$53,INDEX(T_Equipos[Grupo],MATCH(BD25,T_Equipos[NombreEquipo],0)))</f>
        <v>2</v>
      </c>
      <c r="BT25" s="16" t="str">
        <f ca="1">IF(COUNTIFS($BS$6:$BS$53,BS25,$BC$6:$BC$53,INDEX(T_Equipos[Grupo],MATCH(BD25,T_Equipos[NombreEquipo],0)))=1,"-","P."&amp;BS25&amp;" ("&amp;COUNTIFS($BS$6:$BS$53,BS25,$BC$6:$BC$53,INDEX(T_Equipos[Grupo],MATCH(BD25,T_Equipos[NombreEquipo],0)))&amp;")")</f>
        <v>P.2 (2)</v>
      </c>
      <c r="BU25" s="16">
        <f t="shared" ca="1" si="24"/>
        <v>0</v>
      </c>
      <c r="BV25" s="16">
        <f t="shared" ca="1" si="25"/>
        <v>1</v>
      </c>
      <c r="BW25" s="16">
        <f t="shared" ca="1" si="26"/>
        <v>0</v>
      </c>
      <c r="BX25" s="16">
        <f t="shared" ca="1" si="48"/>
        <v>1</v>
      </c>
      <c r="BY25" s="16">
        <f ca="1">BS25+COUNTIFS($BT$6:$BT$53,BT25,$BX$6:BX$53,"&gt;"&amp;BX25,$BC$6:$BC$53,INDEX(T_Equipos[Grupo],MATCH(BD25,T_Equipos[NombreEquipo],0)))</f>
        <v>2</v>
      </c>
      <c r="BZ25" s="16" t="str">
        <f ca="1">IF(COUNTIFS($BY$6:$BY$53,BY25,$BC$6:$BC$53,INDEX(T_Equipos[Grupo],MATCH(BD25,T_Equipos[NombreEquipo],0)))=1,"-","P."&amp;BY25&amp;" ("&amp;COUNTIFS($BY$6:$BY$53,BY25,$BC$6:$BC$53,INDEX(T_Equipos[Grupo],MATCH(BD25,T_Equipos[NombreEquipo],0)))&amp;")")</f>
        <v>P.2 (2)</v>
      </c>
      <c r="CA25" s="16">
        <f t="shared" ca="1" si="27"/>
        <v>2</v>
      </c>
      <c r="CB25" s="16">
        <f t="shared" ca="1" si="28"/>
        <v>2</v>
      </c>
      <c r="CC25" s="16">
        <f t="shared" ca="1" si="49"/>
        <v>0</v>
      </c>
      <c r="CD25" s="16">
        <f ca="1">BY25+COUNTIFS($BZ$6:$BZ$53,BZ25,$CC$6:CC$53,"&gt;"&amp;CC25,$BC$6:$BC$53,INDEX(T_Equipos[Grupo],MATCH(BD25,T_Equipos[NombreEquipo],0)))</f>
        <v>2</v>
      </c>
      <c r="CE25" s="16" t="str">
        <f ca="1">IF(COUNTIFS($CD$6:$CD$53,CD25,$BC$6:$BC$53,INDEX(T_Equipos[Grupo],MATCH(BD25,T_Equipos[NombreEquipo],0)))=1,"-","P."&amp;CD25&amp;" ("&amp;COUNTIFS($CD$6:$CD$53,CD25,$BC$6:$BC$53,INDEX(T_Equipos[Grupo],MATCH(BD25,T_Equipos[NombreEquipo],0)))&amp;")")</f>
        <v>P.2 (2)</v>
      </c>
      <c r="CF25" s="16">
        <f t="shared" ca="1" si="29"/>
        <v>2</v>
      </c>
      <c r="CG25" s="16">
        <f ca="1">CD25+COUNTIFS($CE$6:$CE$53,CE25,$CF$6:CF$53,"&gt;"&amp;CF25,$BC$6:$BC$53,INDEX(T_Equipos[Grupo],MATCH(BD25,T_Equipos[NombreEquipo],0)))</f>
        <v>2</v>
      </c>
      <c r="CH25" s="16" t="str">
        <f ca="1">IF(COUNTIFS($CG$6:$CG$53,CG25,$BC$6:$BC$53,INDEX(T_Equipos[Grupo],MATCH(BD25,T_Equipos[NombreEquipo],0)))=1,"-","P."&amp;CG25&amp;" ("&amp;COUNTIFS($CG$6:$CG$53,CG25,$BC$6:$BC$53,INDEX(T_Equipos[Grupo],MATCH(BD25,T_Equipos[NombreEquipo],0)))&amp;")")</f>
        <v>P.2 (2)</v>
      </c>
      <c r="CI25" s="16">
        <f t="shared" ca="1" si="30"/>
        <v>0</v>
      </c>
      <c r="CJ25" s="16">
        <f t="shared" ca="1" si="31"/>
        <v>1</v>
      </c>
      <c r="CK25" s="16">
        <f t="shared" ca="1" si="32"/>
        <v>0</v>
      </c>
      <c r="CL25" s="16">
        <f t="shared" ca="1" si="50"/>
        <v>1</v>
      </c>
      <c r="CM25" s="16">
        <f ca="1">CG25+COUNTIFS($CH$6:$CH$53,CH25,$CL$6:CL$53,"&gt;"&amp;CL25,$BC$6:$BC$53,INDEX(T_Equipos[Grupo],MATCH(BD25,T_Equipos[NombreEquipo],0)))</f>
        <v>2</v>
      </c>
      <c r="CN25" s="16" t="str">
        <f ca="1">IF(COUNTIFS($CM$6:$CM$53,CM25,$BC$6:$BC$53,INDEX(T_Equipos[Grupo],MATCH(BD25,T_Equipos[NombreEquipo],0)))=1,"-","P."&amp;CM25&amp;" ("&amp;COUNTIFS($CM$6:$CM$53,CM25,$BC$6:$BC$53,INDEX(T_Equipos[Grupo],MATCH(BD25,T_Equipos[NombreEquipo],0)))&amp;")")</f>
        <v>P.2 (2)</v>
      </c>
      <c r="CO25" s="16">
        <f t="shared" ca="1" si="33"/>
        <v>2</v>
      </c>
      <c r="CP25" s="16">
        <f t="shared" ca="1" si="34"/>
        <v>2</v>
      </c>
      <c r="CQ25" s="16">
        <f t="shared" ca="1" si="51"/>
        <v>0</v>
      </c>
      <c r="CR25" s="16">
        <f ca="1">CM25+COUNTIFS($CN$6:$CN$53,CN25,$CQ$6:CQ$53,"&gt;"&amp;CQ25,$BC$6:$BC$53,INDEX(T_Equipos[Grupo],MATCH(BD25,T_Equipos[NombreEquipo],0)))</f>
        <v>2</v>
      </c>
      <c r="CS25" s="16" t="str">
        <f ca="1">IF(COUNTIFS($CR$6:$CR$53,CR25,$BC$6:$BC$53,INDEX(T_Equipos[Grupo],MATCH(BD25,T_Equipos[NombreEquipo],0)))=1,"-","P."&amp;CR25&amp;" ("&amp;COUNTIFS($CR$6:$CR$53,CR25,$BC$6:$BC$53,INDEX(T_Equipos[Grupo],MATCH(BD25,T_Equipos[NombreEquipo],0)))&amp;")")</f>
        <v>P.2 (2)</v>
      </c>
      <c r="CT25" s="16">
        <f t="shared" ca="1" si="35"/>
        <v>2</v>
      </c>
      <c r="CU25" s="16">
        <f ca="1">CR25+COUNTIFS($CS$6:$CS$53,CS25,$CT$6:CT$53,"&gt;"&amp;CT25,$BC$6:$BC$53,INDEX(T_Equipos[Grupo],MATCH(BD25,T_Equipos[NombreEquipo],0)))</f>
        <v>2</v>
      </c>
      <c r="CV25" s="16" t="str">
        <f ca="1">IF(COUNTIFS($CU$6:$CU$53,CU25,$BC$6:$BC$53,INDEX(T_Equipos[Grupo],MATCH(BD25,T_Equipos[NombreEquipo],0)))=1,"-","P."&amp;CU25&amp;" ("&amp;COUNTIFS($CU$6:$CU$53,CU25,$BC$6:$BC$53,INDEX(T_Equipos[Grupo],MATCH(BD25,T_Equipos[NombreEquipo],0)))&amp;")")</f>
        <v>P.2 (2)</v>
      </c>
      <c r="CW25" s="16">
        <f t="shared" ca="1" si="36"/>
        <v>2</v>
      </c>
      <c r="CX25" s="16">
        <f ca="1">CU25+COUNTIFS($CV$6:$CV$53,CV25,$CW$6:CW$53,"&gt;"&amp;CW25,$BC$6:$BC$53,INDEX(T_Equipos[Grupo],MATCH(BD25,T_Equipos[NombreEquipo],0)))</f>
        <v>2</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2</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2</v>
      </c>
      <c r="DE25" s="16"/>
      <c r="DF25" s="16">
        <f t="shared" ca="1" si="52"/>
        <v>2</v>
      </c>
      <c r="DG25" s="16" t="str">
        <f ca="1">IF(DB25="-","-",COUNTIFS(DF$6:DF$53,"&lt;"&amp;DF25,$BC$6:$BC$53,INDEX(T_Equipos[Grupo],MATCH(BD25,T_Equipos[NombreEquipo],0))))</f>
        <v>-</v>
      </c>
      <c r="DH25" s="16">
        <f ca="1">DA25+COUNTIFS(DB$6:DB$53,DB25,DG$6:DG$53,"&lt;"&amp;DG25,$BC$6:$BC$53,INDEX(T_Equipos[Grupo],MATCH(BD25,T_Equipos[NombreEquipo],0)))</f>
        <v>2</v>
      </c>
      <c r="DI25" s="16"/>
      <c r="DJ25" s="16">
        <f t="shared" ca="1" si="38"/>
        <v>4</v>
      </c>
      <c r="DK25" s="16">
        <f t="shared" ca="1" si="39"/>
        <v>12</v>
      </c>
      <c r="DL25" s="16">
        <f t="shared" ca="1" si="40"/>
        <v>1</v>
      </c>
      <c r="DM25" s="16" t="str">
        <f t="shared" ca="1" si="46"/>
        <v>4.1</v>
      </c>
      <c r="DN25" s="16" cm="1">
        <f t="array" aca="1" ref="DN25" ca="1">OFFSET(Horarios!$P$3,DJ25-1,0,DL25,1)</f>
        <v>4</v>
      </c>
      <c r="DO25" s="16"/>
      <c r="DP25" s="16" t="s">
        <v>105</v>
      </c>
      <c r="DQ25" s="16" t="str">
        <f t="shared" ca="1" si="47"/>
        <v>Curaçao</v>
      </c>
    </row>
    <row r="26" spans="1:121" ht="15.95"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6</v>
      </c>
      <c r="BF26" s="16">
        <f t="shared" ca="1" si="41"/>
        <v>3</v>
      </c>
      <c r="BG26" s="16">
        <f t="shared" ca="1" si="17"/>
        <v>2</v>
      </c>
      <c r="BH26" s="16">
        <f t="shared" ca="1" si="18"/>
        <v>0</v>
      </c>
      <c r="BI26" s="16">
        <f t="shared" ca="1" si="19"/>
        <v>1</v>
      </c>
      <c r="BJ26" s="16">
        <f t="shared" ca="1" si="20"/>
        <v>5</v>
      </c>
      <c r="BK26" s="16">
        <f t="shared" ca="1" si="21"/>
        <v>3</v>
      </c>
      <c r="BL26" s="16">
        <f t="shared" ca="1" si="42"/>
        <v>2</v>
      </c>
      <c r="BM26" s="16" t="str">
        <f t="shared" ca="1" si="22"/>
        <v>2F</v>
      </c>
      <c r="BN26" s="16" t="str">
        <f t="shared" ca="1" si="23"/>
        <v>2F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6</v>
      </c>
      <c r="BS26" s="16">
        <f ca="1">BP26+COUNTIFS($BQ$6:$BQ$53,BQ26,$BR$6:BR$53,"&gt;"&amp;BR26,$BC$6:$BC$53,INDEX(T_Equipos[Grupo],MATCH(BD26,T_Equipos[NombreEquipo],0)))</f>
        <v>2</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2</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2</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2</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2</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2</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2</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2</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2</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2</v>
      </c>
      <c r="DE26" s="16"/>
      <c r="DF26" s="16">
        <f t="shared" ca="1" si="52"/>
        <v>2</v>
      </c>
      <c r="DG26" s="16" t="str">
        <f ca="1">IF(DB26="-","-",COUNTIFS(DF$6:DF$53,"&lt;"&amp;DF26,$BC$6:$BC$53,INDEX(T_Equipos[Grupo],MATCH(BD26,T_Equipos[NombreEquipo],0))))</f>
        <v>-</v>
      </c>
      <c r="DH26" s="16">
        <f ca="1">DA26+COUNTIFS(DB$6:DB$53,DB26,DG$6:DG$53,"&lt;"&amp;DG26,$BC$6:$BC$53,INDEX(T_Equipos[Grupo],MATCH(BD26,T_Equipos[NombreEquipo],0)))</f>
        <v>2</v>
      </c>
      <c r="DI26" s="16"/>
      <c r="DJ26" s="16">
        <f t="shared" ca="1" si="38"/>
        <v>1</v>
      </c>
      <c r="DK26" s="16">
        <f t="shared" ca="1" si="39"/>
        <v>12</v>
      </c>
      <c r="DL26" s="16">
        <f t="shared" ca="1" si="40"/>
        <v>1</v>
      </c>
      <c r="DM26" s="16" t="str">
        <f t="shared" ca="1" si="46"/>
        <v>1.1</v>
      </c>
      <c r="DN26" s="16" cm="1">
        <f t="array" aca="1" ref="DN26" ca="1">OFFSET(Horarios!$P$3,DJ26-1,0,DL26,1)</f>
        <v>1</v>
      </c>
      <c r="DO26" s="16"/>
      <c r="DP26" s="16" t="s">
        <v>106</v>
      </c>
      <c r="DQ26" s="16" t="str">
        <f t="shared" ca="1" si="47"/>
        <v>Sweden</v>
      </c>
    </row>
    <row r="27" spans="1:121" ht="15.95"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1</v>
      </c>
      <c r="BF27" s="16">
        <f t="shared" ca="1" si="41"/>
        <v>3</v>
      </c>
      <c r="BG27" s="16">
        <f t="shared" ca="1" si="17"/>
        <v>0</v>
      </c>
      <c r="BH27" s="16">
        <f t="shared" ca="1" si="18"/>
        <v>1</v>
      </c>
      <c r="BI27" s="16">
        <f t="shared" ca="1" si="19"/>
        <v>2</v>
      </c>
      <c r="BJ27" s="16">
        <f t="shared" ca="1" si="20"/>
        <v>2</v>
      </c>
      <c r="BK27" s="16">
        <f t="shared" ca="1" si="21"/>
        <v>6</v>
      </c>
      <c r="BL27" s="16">
        <f t="shared" ca="1" si="42"/>
        <v>-4</v>
      </c>
      <c r="BM27" s="16" t="str">
        <f t="shared" ca="1" si="22"/>
        <v>4F</v>
      </c>
      <c r="BN27" s="16" t="str">
        <f t="shared" ca="1" si="23"/>
        <v>4F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1</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P.3 (2)</v>
      </c>
      <c r="BU27" s="16">
        <f t="shared" ca="1" si="24"/>
        <v>0</v>
      </c>
      <c r="BV27" s="16">
        <f t="shared" ca="1" si="25"/>
        <v>1</v>
      </c>
      <c r="BW27" s="16">
        <f t="shared" ca="1" si="26"/>
        <v>0</v>
      </c>
      <c r="BX27" s="16">
        <f t="shared" ca="1" si="48"/>
        <v>1</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P.3 (2)</v>
      </c>
      <c r="CA27" s="16">
        <f t="shared" ca="1" si="27"/>
        <v>1</v>
      </c>
      <c r="CB27" s="16">
        <f t="shared" ca="1" si="28"/>
        <v>1</v>
      </c>
      <c r="CC27" s="16">
        <f t="shared" ca="1" si="49"/>
        <v>0</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P.3 (2)</v>
      </c>
      <c r="CF27" s="16">
        <f t="shared" ca="1" si="29"/>
        <v>1</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P.3 (2)</v>
      </c>
      <c r="CI27" s="16">
        <f t="shared" ca="1" si="30"/>
        <v>0</v>
      </c>
      <c r="CJ27" s="16">
        <f t="shared" ca="1" si="31"/>
        <v>1</v>
      </c>
      <c r="CK27" s="16">
        <f t="shared" ca="1" si="32"/>
        <v>0</v>
      </c>
      <c r="CL27" s="16">
        <f t="shared" ca="1" si="50"/>
        <v>1</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P.3 (2)</v>
      </c>
      <c r="CO27" s="16">
        <f t="shared" ca="1" si="33"/>
        <v>1</v>
      </c>
      <c r="CP27" s="16">
        <f t="shared" ca="1" si="34"/>
        <v>1</v>
      </c>
      <c r="CQ27" s="16">
        <f t="shared" ca="1" si="51"/>
        <v>0</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P.3 (2)</v>
      </c>
      <c r="CT27" s="16">
        <f t="shared" ca="1" si="35"/>
        <v>1</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P.3 (2)</v>
      </c>
      <c r="CW27" s="16">
        <f t="shared" ca="1" si="36"/>
        <v>-4</v>
      </c>
      <c r="CX27" s="16">
        <f ca="1">CU27+COUNTIFS($CV$6:$CV$53,CV27,$CW$6:CW$53,"&gt;"&amp;CW27,$BC$6:$BC$53,INDEX(T_Equipos[Grupo],MATCH(BD27,T_Equipos[NombreEquipo],0)))</f>
        <v>4</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4</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4</v>
      </c>
      <c r="DE27" s="16"/>
      <c r="DF27" s="16">
        <f t="shared" ca="1" si="52"/>
        <v>4</v>
      </c>
      <c r="DG27" s="16" t="str">
        <f ca="1">IF(DB27="-","-",COUNTIFS(DF$6:DF$53,"&lt;"&amp;DF27,$BC$6:$BC$53,INDEX(T_Equipos[Grupo],MATCH(BD27,T_Equipos[NombreEquipo],0))))</f>
        <v>-</v>
      </c>
      <c r="DH27" s="16">
        <f ca="1">DA27+COUNTIFS(DB$6:DB$53,DB27,DG$6:DG$53,"&lt;"&amp;DG27,$BC$6:$BC$53,INDEX(T_Equipos[Grupo],MATCH(BD27,T_Equipos[NombreEquipo],0)))</f>
        <v>4</v>
      </c>
      <c r="DI27" s="16"/>
      <c r="DJ27" s="16">
        <f t="shared" ca="1" si="38"/>
        <v>2</v>
      </c>
      <c r="DK27" s="16">
        <f t="shared" ca="1" si="39"/>
        <v>12</v>
      </c>
      <c r="DL27" s="16">
        <f t="shared" ca="1" si="40"/>
        <v>1</v>
      </c>
      <c r="DM27" s="16" t="str">
        <f t="shared" ca="1" si="46"/>
        <v>2.1</v>
      </c>
      <c r="DN27" s="16" cm="1">
        <f t="array" aca="1" ref="DN27" ca="1">OFFSET(Horarios!$P$3,DJ27-1,0,DL27,1)</f>
        <v>2</v>
      </c>
      <c r="DO27" s="16"/>
      <c r="DP27" s="16" t="s">
        <v>107</v>
      </c>
      <c r="DQ27" s="16" t="str">
        <f t="shared" ca="1" si="47"/>
        <v>Netherlands</v>
      </c>
    </row>
    <row r="28" spans="1:121" ht="15.95" customHeight="1" thickBot="1">
      <c r="A28" s="16" t="s">
        <v>29</v>
      </c>
      <c r="B28" s="16" t="s">
        <v>108</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P.3 (2)</v>
      </c>
      <c r="G28" s="16"/>
      <c r="H28" s="16" t="str">
        <f t="shared" ref="H28:H33" ca="1" si="94">IF(D28="Pendiente","-",INDEX($BZ$6:$BZ$53,MATCH($AA28,$BD$6:$BD$53,0)))</f>
        <v>-</v>
      </c>
      <c r="I28" s="16" t="str">
        <f t="shared" ref="I28:I33" ca="1" si="95">IF(D28="Pendiente","-",INDEX($BZ$6:$BZ$53,MATCH($AF28,$BD$6:$BD$53,0)))</f>
        <v>P.3 (2)</v>
      </c>
      <c r="J28" s="16"/>
      <c r="K28" s="16" t="str">
        <f t="shared" ref="K28:K33" ca="1" si="96">IF(D28="Pendiente","-",INDEX($CE$6:$CE$53,MATCH($AA28,$BD$6:$BD$53,0)))</f>
        <v>-</v>
      </c>
      <c r="L28" s="16" t="str">
        <f t="shared" ref="L28:L33" ca="1" si="97">IF(D28="Pendiente","-",INDEX($CE$6:$CE$53,MATCH($AF28,$BD$6:$BD$53,0)))</f>
        <v>P.3 (2)</v>
      </c>
      <c r="M28" s="16"/>
      <c r="N28" s="16" t="str">
        <f t="shared" ref="N28:N33" ca="1" si="98">IF(D28="Pendiente","-",INDEX($CH$6:$CH$53,MATCH($AA28,$BD$6:$BD$53,0)))</f>
        <v>-</v>
      </c>
      <c r="O28" s="16" t="str">
        <f t="shared" ref="O28:O33" ca="1" si="99">IF(D28="Pendiente","-",INDEX($CH$6:$CH$53,MATCH($AF28,$BD$6:$BD$53,0)))</f>
        <v>P.3 (2)</v>
      </c>
      <c r="P28" s="16"/>
      <c r="Q28" s="16" t="str">
        <f t="shared" ref="Q28:Q33" ca="1" si="100">IF(D28="Pendiente","-",INDEX($CN$6:$CN$53,MATCH($AA28,$BD$6:$BD$53,0)))</f>
        <v>-</v>
      </c>
      <c r="R28" s="16" t="str">
        <f t="shared" ref="R28:R33" ca="1" si="101">IF(D28="Pendiente","-",INDEX($CN$6:$CN$53,MATCH($AF28,$BD$6:$BD$53,0)))</f>
        <v>P.3 (2)</v>
      </c>
      <c r="S28" s="16"/>
      <c r="T28" s="16" t="str">
        <f t="shared" ref="T28:T33" ca="1" si="102">IF(D28="Pendiente","-",INDEX($CS$6:$CS$53,MATCH($AA28,$BD$6:$BD$53,0)))</f>
        <v>-</v>
      </c>
      <c r="U28" s="16" t="str">
        <f t="shared" ref="U28:U33" ca="1" si="103">IF(D28="Pendiente","-",INDEX($CS$6:$CS$53,MATCH($AF28,$BD$6:$BD$53,0)))</f>
        <v>P.3 (2)</v>
      </c>
      <c r="V28" s="17"/>
      <c r="W28" s="681" t="s">
        <v>108</v>
      </c>
      <c r="X28" s="24">
        <f ca="1">Horarios!C28</f>
        <v>46186.125</v>
      </c>
      <c r="Y28" s="25">
        <f ca="1">Horarios!C28</f>
        <v>46186.125</v>
      </c>
      <c r="Z28" s="26" t="str">
        <f>$Z$4</f>
        <v>R1</v>
      </c>
      <c r="AA28" s="27" t="str">
        <f ca="1">A29</f>
        <v>United States</v>
      </c>
      <c r="AB28" s="49" t="e" cm="1" vm="13">
        <f t="array" aca="1" ref="AB28" ca="1">Ver_flag_local</f>
        <v>#VALUE!</v>
      </c>
      <c r="AC28" s="50">
        <v>3</v>
      </c>
      <c r="AD28" s="51">
        <v>1</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9</v>
      </c>
      <c r="BF28" s="16">
        <f t="shared" ca="1" si="41"/>
        <v>3</v>
      </c>
      <c r="BG28" s="16">
        <f t="shared" ca="1" si="17"/>
        <v>3</v>
      </c>
      <c r="BH28" s="16">
        <f t="shared" ca="1" si="18"/>
        <v>0</v>
      </c>
      <c r="BI28" s="16">
        <f t="shared" ca="1" si="19"/>
        <v>0</v>
      </c>
      <c r="BJ28" s="16">
        <f t="shared" ca="1" si="20"/>
        <v>7</v>
      </c>
      <c r="BK28" s="16">
        <f t="shared" ca="1" si="21"/>
        <v>3</v>
      </c>
      <c r="BL28" s="16">
        <f t="shared" ca="1" si="42"/>
        <v>4</v>
      </c>
      <c r="BM28" s="16" t="str">
        <f t="shared" ca="1" si="22"/>
        <v>1F</v>
      </c>
      <c r="BN28" s="16" t="str">
        <f t="shared" ca="1" si="23"/>
        <v>1F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9</v>
      </c>
      <c r="BS28" s="16">
        <f ca="1">BP28+COUNTIFS($BQ$6:$BQ$53,BQ28,$BR$6:BR$53,"&gt;"&amp;BR28,$BC$6:$BC$53,INDEX(T_Equipos[Grupo],MATCH(BD28,T_Equipos[NombreEquipo],0)))</f>
        <v>1</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1</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1</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1</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1</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1</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1</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1</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1</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1</v>
      </c>
      <c r="DE28" s="16"/>
      <c r="DF28" s="16">
        <f t="shared" ca="1" si="52"/>
        <v>1</v>
      </c>
      <c r="DG28" s="16" t="str">
        <f ca="1">IF(DB28="-","-",COUNTIFS(DF$6:DF$53,"&lt;"&amp;DF28,$BC$6:$BC$53,INDEX(T_Equipos[Grupo],MATCH(BD28,T_Equipos[NombreEquipo],0))))</f>
        <v>-</v>
      </c>
      <c r="DH28" s="16">
        <f ca="1">DA28+COUNTIFS(DB$6:DB$53,DB28,DG$6:DG$53,"&lt;"&amp;DG28,$BC$6:$BC$53,INDEX(T_Equipos[Grupo],MATCH(BD28,T_Equipos[NombreEquipo],0)))</f>
        <v>1</v>
      </c>
      <c r="DI28" s="16"/>
      <c r="DJ28" s="16">
        <f t="shared" ca="1" si="38"/>
        <v>3</v>
      </c>
      <c r="DK28" s="16">
        <f t="shared" ca="1" si="39"/>
        <v>12</v>
      </c>
      <c r="DL28" s="16">
        <f t="shared" ca="1" si="40"/>
        <v>1</v>
      </c>
      <c r="DM28" s="16" t="str">
        <f t="shared" ca="1" si="46"/>
        <v>3.1</v>
      </c>
      <c r="DN28" s="16" cm="1">
        <f t="array" aca="1" ref="DN28" ca="1">OFFSET(Horarios!$P$3,DJ28-1,0,DL28,1)</f>
        <v>3</v>
      </c>
      <c r="DO28" s="16"/>
      <c r="DP28" s="16" t="s">
        <v>109</v>
      </c>
      <c r="DQ28" s="16" t="str">
        <f t="shared" ca="1" si="47"/>
        <v>Tunisia</v>
      </c>
    </row>
    <row r="29" spans="1:121" ht="15.95" customHeight="1">
      <c r="A29" s="16" t="str">
        <f ca="1">+Equipos!B14</f>
        <v>United States</v>
      </c>
      <c r="B29" s="16"/>
      <c r="C29" s="16"/>
      <c r="D29" s="16" t="str">
        <f t="shared" si="91"/>
        <v>Visitante</v>
      </c>
      <c r="E29" s="16" t="str">
        <f t="shared" ca="1" si="92"/>
        <v>P.3 (2)</v>
      </c>
      <c r="F29" s="16" t="str">
        <f t="shared" ca="1" si="93"/>
        <v>-</v>
      </c>
      <c r="G29" s="16"/>
      <c r="H29" s="16" t="str">
        <f t="shared" ca="1" si="94"/>
        <v>P.3 (2)</v>
      </c>
      <c r="I29" s="16" t="str">
        <f t="shared" ca="1" si="95"/>
        <v>-</v>
      </c>
      <c r="J29" s="16"/>
      <c r="K29" s="16" t="str">
        <f t="shared" ca="1" si="96"/>
        <v>P.3 (2)</v>
      </c>
      <c r="L29" s="16" t="str">
        <f t="shared" ca="1" si="97"/>
        <v>-</v>
      </c>
      <c r="M29" s="16"/>
      <c r="N29" s="16" t="str">
        <f t="shared" ca="1" si="98"/>
        <v>P.3 (2)</v>
      </c>
      <c r="O29" s="16" t="str">
        <f t="shared" ca="1" si="99"/>
        <v>-</v>
      </c>
      <c r="P29" s="16"/>
      <c r="Q29" s="16" t="str">
        <f t="shared" ca="1" si="100"/>
        <v>P.3 (2)</v>
      </c>
      <c r="R29" s="16" t="str">
        <f t="shared" ca="1" si="101"/>
        <v>-</v>
      </c>
      <c r="S29" s="16"/>
      <c r="T29" s="16" t="str">
        <f t="shared" ca="1" si="102"/>
        <v>P.3 (2)</v>
      </c>
      <c r="U29" s="16" t="str">
        <f t="shared" ca="1" si="103"/>
        <v>-</v>
      </c>
      <c r="V29" s="17"/>
      <c r="W29" s="681"/>
      <c r="X29" s="24">
        <f ca="1">Horarios!C29</f>
        <v>46187.25</v>
      </c>
      <c r="Y29" s="25">
        <f ca="1">Horarios!C29</f>
        <v>46187.25</v>
      </c>
      <c r="Z29" s="26" t="str">
        <f>$Z$4</f>
        <v>R1</v>
      </c>
      <c r="AA29" s="27" t="str">
        <f ca="1">A31</f>
        <v>Australia</v>
      </c>
      <c r="AB29" s="49" t="e" cm="1" vm="15">
        <f t="array" aca="1" ref="AB29" ca="1">Ver_flag_local</f>
        <v>#VALUE!</v>
      </c>
      <c r="AC29" s="50">
        <v>0</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1</v>
      </c>
      <c r="BF29" s="16">
        <f t="shared" ca="1" si="41"/>
        <v>3</v>
      </c>
      <c r="BG29" s="16">
        <f t="shared" ca="1" si="17"/>
        <v>0</v>
      </c>
      <c r="BH29" s="16">
        <f t="shared" ca="1" si="18"/>
        <v>1</v>
      </c>
      <c r="BI29" s="16">
        <f t="shared" ca="1" si="19"/>
        <v>2</v>
      </c>
      <c r="BJ29" s="16">
        <f t="shared" ca="1" si="20"/>
        <v>3</v>
      </c>
      <c r="BK29" s="16">
        <f t="shared" ca="1" si="21"/>
        <v>5</v>
      </c>
      <c r="BL29" s="16">
        <f t="shared" ca="1" si="42"/>
        <v>-2</v>
      </c>
      <c r="BM29" s="16" t="str">
        <f t="shared" ca="1" si="22"/>
        <v>3F</v>
      </c>
      <c r="BN29" s="16" t="str">
        <f t="shared" ca="1" si="23"/>
        <v>3F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1</v>
      </c>
      <c r="BS29" s="16">
        <f ca="1">BP29+COUNTIFS($BQ$6:$BQ$53,BQ29,$BR$6:BR$53,"&gt;"&amp;BR29,$BC$6:$BC$53,INDEX(T_Equipos[Grupo],MATCH(BD29,T_Equipos[NombreEquipo],0)))</f>
        <v>3</v>
      </c>
      <c r="BT29" s="16" t="str">
        <f ca="1">IF(COUNTIFS($BS$6:$BS$53,BS29,$BC$6:$BC$53,INDEX(T_Equipos[Grupo],MATCH(BD29,T_Equipos[NombreEquipo],0)))=1,"-","P."&amp;BS29&amp;" ("&amp;COUNTIFS($BS$6:$BS$53,BS29,$BC$6:$BC$53,INDEX(T_Equipos[Grupo],MATCH(BD29,T_Equipos[NombreEquipo],0)))&amp;")")</f>
        <v>P.3 (2)</v>
      </c>
      <c r="BU29" s="16">
        <f t="shared" ca="1" si="24"/>
        <v>0</v>
      </c>
      <c r="BV29" s="16">
        <f t="shared" ca="1" si="25"/>
        <v>1</v>
      </c>
      <c r="BW29" s="16">
        <f t="shared" ca="1" si="26"/>
        <v>0</v>
      </c>
      <c r="BX29" s="16">
        <f t="shared" ca="1" si="48"/>
        <v>1</v>
      </c>
      <c r="BY29" s="16">
        <f ca="1">BS29+COUNTIFS($BT$6:$BT$53,BT29,$BX$6:BX$53,"&gt;"&amp;BX29,$BC$6:$BC$53,INDEX(T_Equipos[Grupo],MATCH(BD29,T_Equipos[NombreEquipo],0)))</f>
        <v>3</v>
      </c>
      <c r="BZ29" s="16" t="str">
        <f ca="1">IF(COUNTIFS($BY$6:$BY$53,BY29,$BC$6:$BC$53,INDEX(T_Equipos[Grupo],MATCH(BD29,T_Equipos[NombreEquipo],0)))=1,"-","P."&amp;BY29&amp;" ("&amp;COUNTIFS($BY$6:$BY$53,BY29,$BC$6:$BC$53,INDEX(T_Equipos[Grupo],MATCH(BD29,T_Equipos[NombreEquipo],0)))&amp;")")</f>
        <v>P.3 (2)</v>
      </c>
      <c r="CA29" s="16">
        <f t="shared" ca="1" si="27"/>
        <v>1</v>
      </c>
      <c r="CB29" s="16">
        <f t="shared" ca="1" si="28"/>
        <v>1</v>
      </c>
      <c r="CC29" s="16">
        <f t="shared" ca="1" si="49"/>
        <v>0</v>
      </c>
      <c r="CD29" s="16">
        <f ca="1">BY29+COUNTIFS($BZ$6:$BZ$53,BZ29,$CC$6:CC$53,"&gt;"&amp;CC29,$BC$6:$BC$53,INDEX(T_Equipos[Grupo],MATCH(BD29,T_Equipos[NombreEquipo],0)))</f>
        <v>3</v>
      </c>
      <c r="CE29" s="16" t="str">
        <f ca="1">IF(COUNTIFS($CD$6:$CD$53,CD29,$BC$6:$BC$53,INDEX(T_Equipos[Grupo],MATCH(BD29,T_Equipos[NombreEquipo],0)))=1,"-","P."&amp;CD29&amp;" ("&amp;COUNTIFS($CD$6:$CD$53,CD29,$BC$6:$BC$53,INDEX(T_Equipos[Grupo],MATCH(BD29,T_Equipos[NombreEquipo],0)))&amp;")")</f>
        <v>P.3 (2)</v>
      </c>
      <c r="CF29" s="16">
        <f t="shared" ca="1" si="29"/>
        <v>1</v>
      </c>
      <c r="CG29" s="16">
        <f ca="1">CD29+COUNTIFS($CE$6:$CE$53,CE29,$CF$6:CF$53,"&gt;"&amp;CF29,$BC$6:$BC$53,INDEX(T_Equipos[Grupo],MATCH(BD29,T_Equipos[NombreEquipo],0)))</f>
        <v>3</v>
      </c>
      <c r="CH29" s="16" t="str">
        <f ca="1">IF(COUNTIFS($CG$6:$CG$53,CG29,$BC$6:$BC$53,INDEX(T_Equipos[Grupo],MATCH(BD29,T_Equipos[NombreEquipo],0)))=1,"-","P."&amp;CG29&amp;" ("&amp;COUNTIFS($CG$6:$CG$53,CG29,$BC$6:$BC$53,INDEX(T_Equipos[Grupo],MATCH(BD29,T_Equipos[NombreEquipo],0)))&amp;")")</f>
        <v>P.3 (2)</v>
      </c>
      <c r="CI29" s="16">
        <f t="shared" ca="1" si="30"/>
        <v>0</v>
      </c>
      <c r="CJ29" s="16">
        <f t="shared" ca="1" si="31"/>
        <v>1</v>
      </c>
      <c r="CK29" s="16">
        <f t="shared" ca="1" si="32"/>
        <v>0</v>
      </c>
      <c r="CL29" s="16">
        <f t="shared" ca="1" si="50"/>
        <v>1</v>
      </c>
      <c r="CM29" s="16">
        <f ca="1">CG29+COUNTIFS($CH$6:$CH$53,CH29,$CL$6:CL$53,"&gt;"&amp;CL29,$BC$6:$BC$53,INDEX(T_Equipos[Grupo],MATCH(BD29,T_Equipos[NombreEquipo],0)))</f>
        <v>3</v>
      </c>
      <c r="CN29" s="16" t="str">
        <f ca="1">IF(COUNTIFS($CM$6:$CM$53,CM29,$BC$6:$BC$53,INDEX(T_Equipos[Grupo],MATCH(BD29,T_Equipos[NombreEquipo],0)))=1,"-","P."&amp;CM29&amp;" ("&amp;COUNTIFS($CM$6:$CM$53,CM29,$BC$6:$BC$53,INDEX(T_Equipos[Grupo],MATCH(BD29,T_Equipos[NombreEquipo],0)))&amp;")")</f>
        <v>P.3 (2)</v>
      </c>
      <c r="CO29" s="16">
        <f t="shared" ca="1" si="33"/>
        <v>1</v>
      </c>
      <c r="CP29" s="16">
        <f t="shared" ca="1" si="34"/>
        <v>1</v>
      </c>
      <c r="CQ29" s="16">
        <f t="shared" ca="1" si="51"/>
        <v>0</v>
      </c>
      <c r="CR29" s="16">
        <f ca="1">CM29+COUNTIFS($CN$6:$CN$53,CN29,$CQ$6:CQ$53,"&gt;"&amp;CQ29,$BC$6:$BC$53,INDEX(T_Equipos[Grupo],MATCH(BD29,T_Equipos[NombreEquipo],0)))</f>
        <v>3</v>
      </c>
      <c r="CS29" s="16" t="str">
        <f ca="1">IF(COUNTIFS($CR$6:$CR$53,CR29,$BC$6:$BC$53,INDEX(T_Equipos[Grupo],MATCH(BD29,T_Equipos[NombreEquipo],0)))=1,"-","P."&amp;CR29&amp;" ("&amp;COUNTIFS($CR$6:$CR$53,CR29,$BC$6:$BC$53,INDEX(T_Equipos[Grupo],MATCH(BD29,T_Equipos[NombreEquipo],0)))&amp;")")</f>
        <v>P.3 (2)</v>
      </c>
      <c r="CT29" s="16">
        <f t="shared" ca="1" si="35"/>
        <v>1</v>
      </c>
      <c r="CU29" s="16">
        <f ca="1">CR29+COUNTIFS($CS$6:$CS$53,CS29,$CT$6:CT$53,"&gt;"&amp;CT29,$BC$6:$BC$53,INDEX(T_Equipos[Grupo],MATCH(BD29,T_Equipos[NombreEquipo],0)))</f>
        <v>3</v>
      </c>
      <c r="CV29" s="16" t="str">
        <f ca="1">IF(COUNTIFS($CU$6:$CU$53,CU29,$BC$6:$BC$53,INDEX(T_Equipos[Grupo],MATCH(BD29,T_Equipos[NombreEquipo],0)))=1,"-","P."&amp;CU29&amp;" ("&amp;COUNTIFS($CU$6:$CU$53,CU29,$BC$6:$BC$53,INDEX(T_Equipos[Grupo],MATCH(BD29,T_Equipos[NombreEquipo],0)))&amp;")")</f>
        <v>P.3 (2)</v>
      </c>
      <c r="CW29" s="16">
        <f t="shared" ca="1" si="36"/>
        <v>-2</v>
      </c>
      <c r="CX29" s="16">
        <f ca="1">CU29+COUNTIFS($CV$6:$CV$53,CV29,$CW$6:CW$53,"&gt;"&amp;CW29,$BC$6:$BC$53,INDEX(T_Equipos[Grupo],MATCH(BD29,T_Equipos[NombreEquipo],0)))</f>
        <v>3</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3</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3</v>
      </c>
      <c r="DE29" s="16"/>
      <c r="DF29" s="16">
        <f t="shared" ca="1" si="52"/>
        <v>3</v>
      </c>
      <c r="DG29" s="16" t="str">
        <f ca="1">IF(DB29="-","-",COUNTIFS(DF$6:DF$53,"&lt;"&amp;DF29,$BC$6:$BC$53,INDEX(T_Equipos[Grupo],MATCH(BD29,T_Equipos[NombreEquipo],0))))</f>
        <v>-</v>
      </c>
      <c r="DH29" s="16">
        <f ca="1">DA29+COUNTIFS(DB$6:DB$53,DB29,DG$6:DG$53,"&lt;"&amp;DG29,$BC$6:$BC$53,INDEX(T_Equipos[Grupo],MATCH(BD29,T_Equipos[NombreEquipo],0)))</f>
        <v>3</v>
      </c>
      <c r="DI29" s="16"/>
      <c r="DJ29" s="16">
        <f t="shared" ca="1" si="38"/>
        <v>4</v>
      </c>
      <c r="DK29" s="16">
        <f t="shared" ca="1" si="39"/>
        <v>12</v>
      </c>
      <c r="DL29" s="16">
        <f t="shared" ca="1" si="40"/>
        <v>1</v>
      </c>
      <c r="DM29" s="16" t="str">
        <f t="shared" ca="1" si="46"/>
        <v>4.1</v>
      </c>
      <c r="DN29" s="16" cm="1">
        <f t="array" aca="1" ref="DN29" ca="1">OFFSET(Horarios!$P$3,DJ29-1,0,DL29,1)</f>
        <v>4</v>
      </c>
      <c r="DO29" s="16"/>
      <c r="DP29" s="16" t="s">
        <v>110</v>
      </c>
      <c r="DQ29" s="16" t="str">
        <f t="shared" ca="1" si="47"/>
        <v>Japan</v>
      </c>
    </row>
    <row r="30" spans="1:121" ht="15.95" customHeight="1">
      <c r="A30" s="16" t="str">
        <f ca="1">+Equipos!B15</f>
        <v>Paraguay</v>
      </c>
      <c r="B30" s="16"/>
      <c r="C30" s="16"/>
      <c r="D30" s="16" t="str">
        <f t="shared" si="91"/>
        <v>Local</v>
      </c>
      <c r="E30" s="16" t="str">
        <f t="shared" ca="1" si="92"/>
        <v>-</v>
      </c>
      <c r="F30" s="16" t="str">
        <f t="shared" ca="1" si="93"/>
        <v>P.3 (2)</v>
      </c>
      <c r="G30" s="16"/>
      <c r="H30" s="16" t="str">
        <f t="shared" ca="1" si="94"/>
        <v>-</v>
      </c>
      <c r="I30" s="16" t="str">
        <f t="shared" ca="1" si="95"/>
        <v>P.3 (2)</v>
      </c>
      <c r="J30" s="16"/>
      <c r="K30" s="16" t="str">
        <f t="shared" ca="1" si="96"/>
        <v>-</v>
      </c>
      <c r="L30" s="16" t="str">
        <f t="shared" ca="1" si="97"/>
        <v>P.3 (2)</v>
      </c>
      <c r="M30" s="16"/>
      <c r="N30" s="16" t="str">
        <f t="shared" ca="1" si="98"/>
        <v>-</v>
      </c>
      <c r="O30" s="16" t="str">
        <f t="shared" ca="1" si="99"/>
        <v>P.3 (2)</v>
      </c>
      <c r="P30" s="16"/>
      <c r="Q30" s="16" t="str">
        <f t="shared" ca="1" si="100"/>
        <v>-</v>
      </c>
      <c r="R30" s="16" t="str">
        <f t="shared" ca="1" si="101"/>
        <v>P.3 (2)</v>
      </c>
      <c r="S30" s="16"/>
      <c r="T30" s="16" t="str">
        <f t="shared" ca="1" si="102"/>
        <v>-</v>
      </c>
      <c r="U30" s="16" t="str">
        <f t="shared" ca="1" si="103"/>
        <v>P.3 (2)</v>
      </c>
      <c r="V30" s="17"/>
      <c r="W30" s="681"/>
      <c r="X30" s="24">
        <f ca="1">Horarios!C30</f>
        <v>46192.875</v>
      </c>
      <c r="Y30" s="25">
        <f ca="1">Horarios!C30</f>
        <v>46192.875</v>
      </c>
      <c r="Z30" s="26" t="str">
        <f>$Z$6</f>
        <v>R2</v>
      </c>
      <c r="AA30" s="27" t="str">
        <f ca="1">A29</f>
        <v>United States</v>
      </c>
      <c r="AB30" s="49" t="e" cm="1" vm="13">
        <f t="array" aca="1" ref="AB30" ca="1">Ver_flag_local</f>
        <v>#VALUE!</v>
      </c>
      <c r="AC30" s="50">
        <v>2</v>
      </c>
      <c r="AD30" s="51">
        <v>1</v>
      </c>
      <c r="AE30" s="595" t="e" cm="1" vm="15">
        <f t="array" aca="1" ref="AE30" ca="1">Ver_flag_visit</f>
        <v>#VALUE!</v>
      </c>
      <c r="AF30" s="32" t="str">
        <f ca="1">A31</f>
        <v>Australia</v>
      </c>
      <c r="AG30" s="323">
        <f t="shared" si="104"/>
        <v>1</v>
      </c>
      <c r="AH30" s="195">
        <v>32</v>
      </c>
      <c r="AI30" s="181" t="str">
        <f>AJ30&amp;$B$28</f>
        <v>1D</v>
      </c>
      <c r="AJ30" s="40">
        <v>1</v>
      </c>
      <c r="AK30" s="601" t="e" cm="1" vm="16">
        <f t="array" aca="1" ref="AK30" ca="1">Ver_flag_visit</f>
        <v>#VALUE!</v>
      </c>
      <c r="AL30" s="34" t="str">
        <f ca="1">IFERROR(INDEX($BD$6:$BD$53,MATCH(AI30,$BN$6:$BN$53,0)),"")</f>
        <v>Turkey</v>
      </c>
      <c r="AM30" s="35">
        <f t="shared" ref="AM30:AT33" ca="1" si="107">INDEX($BE$6:$BN$53,MATCH($AL30,$BD$6:$BD$53,0),MATCH(AM$5,$BE$5:$BN$5,0))</f>
        <v>9</v>
      </c>
      <c r="AN30" s="36">
        <f t="shared" ca="1" si="107"/>
        <v>3</v>
      </c>
      <c r="AO30" s="36">
        <f t="shared" ca="1" si="107"/>
        <v>3</v>
      </c>
      <c r="AP30" s="36">
        <f t="shared" ca="1" si="107"/>
        <v>0</v>
      </c>
      <c r="AQ30" s="36">
        <f t="shared" ca="1" si="107"/>
        <v>0</v>
      </c>
      <c r="AR30" s="36">
        <f t="shared" ca="1" si="107"/>
        <v>7</v>
      </c>
      <c r="AS30" s="36">
        <f t="shared" ca="1" si="107"/>
        <v>0</v>
      </c>
      <c r="AT30" s="41">
        <f t="shared" ca="1" si="107"/>
        <v>7</v>
      </c>
      <c r="AU30" s="330">
        <f ca="1">INDEX($DL$6:$DL$53,MATCH(AI30,$DP$6:$DP$53,0))</f>
        <v>1</v>
      </c>
      <c r="AV30" s="182" t="str">
        <f ca="1">INDEX($BD$6:$BD$53,MATCH(AI30,$BM$6:$BM$53,0))</f>
        <v>Turkey</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7</v>
      </c>
      <c r="BK30" s="16">
        <f t="shared" ca="1" si="21"/>
        <v>2</v>
      </c>
      <c r="BL30" s="16">
        <f t="shared" ca="1" si="42"/>
        <v>5</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111</v>
      </c>
      <c r="DQ30" s="16" t="str">
        <f t="shared" ca="1" si="47"/>
        <v>Belgium</v>
      </c>
    </row>
    <row r="31" spans="1:121" ht="15.95" customHeight="1">
      <c r="A31" s="16" t="str">
        <f ca="1">+Equipos!B16</f>
        <v>Australia</v>
      </c>
      <c r="B31" s="16"/>
      <c r="C31" s="16"/>
      <c r="D31" s="16" t="str">
        <f t="shared" si="91"/>
        <v>Local</v>
      </c>
      <c r="E31" s="16" t="str">
        <f t="shared" ca="1" si="92"/>
        <v>-</v>
      </c>
      <c r="F31" s="16" t="str">
        <f t="shared" ca="1" si="93"/>
        <v>P.3 (2)</v>
      </c>
      <c r="G31" s="16"/>
      <c r="H31" s="16" t="str">
        <f t="shared" ca="1" si="94"/>
        <v>-</v>
      </c>
      <c r="I31" s="16" t="str">
        <f t="shared" ca="1" si="95"/>
        <v>P.3 (2)</v>
      </c>
      <c r="J31" s="16"/>
      <c r="K31" s="16" t="str">
        <f t="shared" ca="1" si="96"/>
        <v>-</v>
      </c>
      <c r="L31" s="16" t="str">
        <f t="shared" ca="1" si="97"/>
        <v>P.3 (2)</v>
      </c>
      <c r="M31" s="16"/>
      <c r="N31" s="16" t="str">
        <f t="shared" ca="1" si="98"/>
        <v>-</v>
      </c>
      <c r="O31" s="16" t="str">
        <f t="shared" ca="1" si="99"/>
        <v>P.3 (2)</v>
      </c>
      <c r="P31" s="16"/>
      <c r="Q31" s="16" t="str">
        <f t="shared" ca="1" si="100"/>
        <v>-</v>
      </c>
      <c r="R31" s="16" t="str">
        <f t="shared" ca="1" si="101"/>
        <v>P.3 (2)</v>
      </c>
      <c r="S31" s="16"/>
      <c r="T31" s="16" t="str">
        <f t="shared" ca="1" si="102"/>
        <v>-</v>
      </c>
      <c r="U31" s="16" t="str">
        <f t="shared" ca="1" si="103"/>
        <v>P.3 (2)</v>
      </c>
      <c r="V31" s="17"/>
      <c r="W31" s="681"/>
      <c r="X31" s="24">
        <f ca="1">Horarios!C31</f>
        <v>46193.208333333336</v>
      </c>
      <c r="Y31" s="25">
        <f ca="1">Horarios!C31</f>
        <v>46193.208333333336</v>
      </c>
      <c r="Z31" s="26" t="str">
        <f>$Z$6</f>
        <v>R2</v>
      </c>
      <c r="AA31" s="27" t="str">
        <f ca="1">A32</f>
        <v>Turkey</v>
      </c>
      <c r="AB31" s="49" t="e" cm="1" vm="16">
        <f t="array" aca="1" ref="AB31" ca="1">Ver_flag_local</f>
        <v>#VALUE!</v>
      </c>
      <c r="AC31" s="50">
        <v>3</v>
      </c>
      <c r="AD31" s="51">
        <v>0</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3">
        <f t="array" aca="1" ref="AK31" ca="1">Ver_flag_visit</f>
        <v>#VALUE!</v>
      </c>
      <c r="AL31" s="37" t="str">
        <f ca="1">IFERROR(INDEX($BD$6:$BD$53,MATCH(AI31,$BN$6:$BN$53,0)),"")</f>
        <v>United States</v>
      </c>
      <c r="AM31" s="38">
        <f t="shared" ca="1" si="107"/>
        <v>6</v>
      </c>
      <c r="AN31" s="39">
        <f t="shared" ca="1" si="107"/>
        <v>3</v>
      </c>
      <c r="AO31" s="39">
        <f t="shared" ca="1" si="107"/>
        <v>2</v>
      </c>
      <c r="AP31" s="39">
        <f t="shared" ca="1" si="107"/>
        <v>0</v>
      </c>
      <c r="AQ31" s="39">
        <f t="shared" ca="1" si="107"/>
        <v>1</v>
      </c>
      <c r="AR31" s="39">
        <f t="shared" ca="1" si="107"/>
        <v>5</v>
      </c>
      <c r="AS31" s="39">
        <f t="shared" ca="1" si="107"/>
        <v>4</v>
      </c>
      <c r="AT31" s="43">
        <f t="shared" ca="1" si="107"/>
        <v>1</v>
      </c>
      <c r="AU31" s="330">
        <f ca="1">INDEX($DL$6:$DL$53,MATCH(AI31,$DP$6:$DP$53,0))</f>
        <v>1</v>
      </c>
      <c r="AV31" s="182" t="str">
        <f ca="1">INDEX($BD$6:$BD$53,MATCH(AI31,$BM$6:$BM$53,0))</f>
        <v>United States</v>
      </c>
      <c r="AW31" s="210"/>
      <c r="AX31" s="171"/>
      <c r="AY31" s="203" t="str">
        <f ca="1">+A30</f>
        <v>Paraguay</v>
      </c>
      <c r="AZ31" s="204"/>
      <c r="BA31" s="176"/>
      <c r="BC31" s="16" t="str">
        <f ca="1">+INDEX(T_Equipos[Grupo],MATCH(WORLDCUP!BD31,T_Equipos[NombreEquipo],0))</f>
        <v>G</v>
      </c>
      <c r="BD31" s="16" t="str">
        <f ca="1">+Equipos!B27</f>
        <v>Egypt</v>
      </c>
      <c r="BE31" s="16">
        <f t="shared" ca="1" si="16"/>
        <v>3</v>
      </c>
      <c r="BF31" s="16">
        <f t="shared" ca="1" si="41"/>
        <v>3</v>
      </c>
      <c r="BG31" s="16">
        <f t="shared" ca="1" si="17"/>
        <v>1</v>
      </c>
      <c r="BH31" s="16">
        <f t="shared" ca="1" si="18"/>
        <v>0</v>
      </c>
      <c r="BI31" s="16">
        <f t="shared" ca="1" si="19"/>
        <v>2</v>
      </c>
      <c r="BJ31" s="16">
        <f t="shared" ca="1" si="20"/>
        <v>5</v>
      </c>
      <c r="BK31" s="16">
        <f t="shared" ca="1" si="21"/>
        <v>4</v>
      </c>
      <c r="BL31" s="16">
        <f t="shared" ca="1" si="42"/>
        <v>1</v>
      </c>
      <c r="BM31" s="16" t="str">
        <f t="shared" ca="1" si="22"/>
        <v>3G</v>
      </c>
      <c r="BN31" s="16" t="str">
        <f t="shared" ca="1" si="23"/>
        <v>3G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3</v>
      </c>
      <c r="BS31" s="16">
        <f ca="1">BP31+COUNTIFS($BQ$6:$BQ$53,BQ31,$BR$6:BR$53,"&gt;"&amp;BR31,$BC$6:$BC$53,INDEX(T_Equipos[Grupo],MATCH(BD31,T_Equipos[NombreEquipo],0)))</f>
        <v>3</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3</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3</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3</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3</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3</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3</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3</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3</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3</v>
      </c>
      <c r="DE31" s="16"/>
      <c r="DF31" s="16">
        <f t="shared" ca="1" si="52"/>
        <v>3</v>
      </c>
      <c r="DG31" s="16" t="str">
        <f ca="1">IF(DB31="-","-",COUNTIFS(DF$6:DF$53,"&lt;"&amp;DF31,$BC$6:$BC$53,INDEX(T_Equipos[Grupo],MATCH(BD31,T_Equipos[NombreEquipo],0))))</f>
        <v>-</v>
      </c>
      <c r="DH31" s="16">
        <f ca="1">DA31+COUNTIFS(DB$6:DB$53,DB31,DG$6:DG$53,"&lt;"&amp;DG31,$BC$6:$BC$53,INDEX(T_Equipos[Grupo],MATCH(BD31,T_Equipos[NombreEquipo],0)))</f>
        <v>3</v>
      </c>
      <c r="DI31" s="16"/>
      <c r="DJ31" s="16">
        <f t="shared" ca="1" si="38"/>
        <v>2</v>
      </c>
      <c r="DK31" s="16">
        <f t="shared" ca="1" si="39"/>
        <v>12</v>
      </c>
      <c r="DL31" s="16">
        <f t="shared" ca="1" si="40"/>
        <v>1</v>
      </c>
      <c r="DM31" s="16" t="str">
        <f t="shared" ca="1" si="46"/>
        <v>2.1</v>
      </c>
      <c r="DN31" s="16" cm="1">
        <f t="array" aca="1" ref="DN31" ca="1">OFFSET(Horarios!$P$3,DJ31-1,0,DL31,1)</f>
        <v>2</v>
      </c>
      <c r="DO31" s="16"/>
      <c r="DP31" s="16" t="s">
        <v>112</v>
      </c>
      <c r="DQ31" s="16" t="str">
        <f t="shared" ca="1" si="47"/>
        <v>New Zealand</v>
      </c>
    </row>
    <row r="32" spans="1:121" ht="15.95" customHeight="1">
      <c r="A32" s="16" t="str">
        <f ca="1">+Equipos!B17</f>
        <v>Turkey</v>
      </c>
      <c r="B32" s="16"/>
      <c r="C32" s="16"/>
      <c r="D32" s="16" t="str">
        <f t="shared" si="91"/>
        <v>Local</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81"/>
      <c r="X32" s="24">
        <f ca="1">Horarios!C32</f>
        <v>46199.166666666664</v>
      </c>
      <c r="Y32" s="25">
        <f ca="1">Horarios!C32</f>
        <v>46199.166666666664</v>
      </c>
      <c r="Z32" s="26" t="str">
        <f>$Z$8</f>
        <v>R3</v>
      </c>
      <c r="AA32" s="27" t="str">
        <f ca="1">A32</f>
        <v>Turkey</v>
      </c>
      <c r="AB32" s="49" t="e" cm="1" vm="16">
        <f t="array" aca="1" ref="AB32" ca="1">Ver_flag_local</f>
        <v>#VALUE!</v>
      </c>
      <c r="AC32" s="50">
        <v>2</v>
      </c>
      <c r="AD32" s="51">
        <v>0</v>
      </c>
      <c r="AE32" s="595" t="e" cm="1" vm="13">
        <f t="array" aca="1" ref="AE32" ca="1">Ver_flag_visit</f>
        <v>#VALUE!</v>
      </c>
      <c r="AF32" s="32" t="str">
        <f ca="1">A29</f>
        <v>United States</v>
      </c>
      <c r="AG32" s="323">
        <f t="shared" si="104"/>
        <v>1</v>
      </c>
      <c r="AH32" s="195">
        <v>59</v>
      </c>
      <c r="AI32" s="181" t="str">
        <f t="shared" si="108"/>
        <v>3D</v>
      </c>
      <c r="AJ32" s="42">
        <v>3</v>
      </c>
      <c r="AK32" s="602" t="e" cm="1" vm="15">
        <f t="array" aca="1" ref="AK32" ca="1">Ver_flag_visit</f>
        <v>#VALUE!</v>
      </c>
      <c r="AL32" s="37" t="str">
        <f ca="1">IFERROR(INDEX($BD$6:$BD$53,MATCH(AI32,$BN$6:$BN$53,0)),"")</f>
        <v>Australia</v>
      </c>
      <c r="AM32" s="38">
        <f t="shared" ca="1" si="107"/>
        <v>1</v>
      </c>
      <c r="AN32" s="39">
        <f t="shared" ca="1" si="107"/>
        <v>3</v>
      </c>
      <c r="AO32" s="39">
        <f t="shared" ca="1" si="107"/>
        <v>0</v>
      </c>
      <c r="AP32" s="39">
        <f t="shared" ca="1" si="107"/>
        <v>1</v>
      </c>
      <c r="AQ32" s="39">
        <f t="shared" ca="1" si="107"/>
        <v>2</v>
      </c>
      <c r="AR32" s="39">
        <f t="shared" ca="1" si="107"/>
        <v>2</v>
      </c>
      <c r="AS32" s="39">
        <f t="shared" ca="1" si="107"/>
        <v>5</v>
      </c>
      <c r="AT32" s="43">
        <f t="shared" ca="1" si="107"/>
        <v>-3</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0</v>
      </c>
      <c r="BF32" s="16">
        <f t="shared" ca="1" si="41"/>
        <v>3</v>
      </c>
      <c r="BG32" s="16">
        <f t="shared" ca="1" si="17"/>
        <v>0</v>
      </c>
      <c r="BH32" s="16">
        <f t="shared" ca="1" si="18"/>
        <v>0</v>
      </c>
      <c r="BI32" s="16">
        <f t="shared" ca="1" si="19"/>
        <v>3</v>
      </c>
      <c r="BJ32" s="16">
        <f t="shared" ca="1" si="20"/>
        <v>0</v>
      </c>
      <c r="BK32" s="16">
        <f t="shared" ca="1" si="21"/>
        <v>9</v>
      </c>
      <c r="BL32" s="16">
        <f t="shared" ca="1" si="42"/>
        <v>-9</v>
      </c>
      <c r="BM32" s="16" t="str">
        <f t="shared" ca="1" si="22"/>
        <v>4G</v>
      </c>
      <c r="BN32" s="16" t="str">
        <f t="shared" ca="1" si="23"/>
        <v>4G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0</v>
      </c>
      <c r="BS32" s="16">
        <f ca="1">BP32+COUNTIFS($BQ$6:$BQ$53,BQ32,$BR$6:BR$53,"&gt;"&amp;BR32,$BC$6:$BC$53,INDEX(T_Equipos[Grupo],MATCH(BD32,T_Equipos[NombreEquipo],0)))</f>
        <v>4</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4</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4</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4</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4</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4</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4</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4</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4</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4</v>
      </c>
      <c r="DE32" s="16"/>
      <c r="DF32" s="16">
        <f t="shared" ca="1" si="52"/>
        <v>4</v>
      </c>
      <c r="DG32" s="16" t="str">
        <f ca="1">IF(DB32="-","-",COUNTIFS(DF$6:DF$53,"&lt;"&amp;DF32,$BC$6:$BC$53,INDEX(T_Equipos[Grupo],MATCH(BD32,T_Equipos[NombreEquipo],0))))</f>
        <v>-</v>
      </c>
      <c r="DH32" s="16">
        <f ca="1">DA32+COUNTIFS(DB$6:DB$53,DB32,DG$6:DG$53,"&lt;"&amp;DG32,$BC$6:$BC$53,INDEX(T_Equipos[Grupo],MATCH(BD32,T_Equipos[NombreEquipo],0)))</f>
        <v>4</v>
      </c>
      <c r="DI32" s="16"/>
      <c r="DJ32" s="16">
        <f t="shared" ca="1" si="38"/>
        <v>3</v>
      </c>
      <c r="DK32" s="16">
        <f t="shared" ca="1" si="39"/>
        <v>12</v>
      </c>
      <c r="DL32" s="16">
        <f t="shared" ca="1" si="40"/>
        <v>1</v>
      </c>
      <c r="DM32" s="16" t="str">
        <f t="shared" ca="1" si="46"/>
        <v>3.1</v>
      </c>
      <c r="DN32" s="16" cm="1">
        <f t="array" aca="1" ref="DN32" ca="1">OFFSET(Horarios!$P$3,DJ32-1,0,DL32,1)</f>
        <v>3</v>
      </c>
      <c r="DO32" s="16"/>
      <c r="DP32" s="16" t="s">
        <v>113</v>
      </c>
      <c r="DQ32" s="16" t="str">
        <f t="shared" ca="1" si="47"/>
        <v>Egypt</v>
      </c>
    </row>
    <row r="33" spans="1:121" ht="15.95" customHeight="1" thickBot="1">
      <c r="A33" s="16"/>
      <c r="B33" s="16"/>
      <c r="C33" s="16"/>
      <c r="D33" s="16" t="str">
        <f t="shared" si="91"/>
        <v>Empate</v>
      </c>
      <c r="E33" s="16" t="str">
        <f t="shared" ca="1" si="92"/>
        <v>P.3 (2)</v>
      </c>
      <c r="F33" s="16" t="str">
        <f t="shared" ca="1" si="93"/>
        <v>P.3 (2)</v>
      </c>
      <c r="G33" s="16"/>
      <c r="H33" s="16" t="str">
        <f t="shared" ca="1" si="94"/>
        <v>P.3 (2)</v>
      </c>
      <c r="I33" s="16" t="str">
        <f t="shared" ca="1" si="95"/>
        <v>P.3 (2)</v>
      </c>
      <c r="J33" s="16"/>
      <c r="K33" s="16" t="str">
        <f t="shared" ca="1" si="96"/>
        <v>P.3 (2)</v>
      </c>
      <c r="L33" s="16" t="str">
        <f t="shared" ca="1" si="97"/>
        <v>P.3 (2)</v>
      </c>
      <c r="M33" s="16"/>
      <c r="N33" s="16" t="str">
        <f t="shared" ca="1" si="98"/>
        <v>P.3 (2)</v>
      </c>
      <c r="O33" s="16" t="str">
        <f t="shared" ca="1" si="99"/>
        <v>P.3 (2)</v>
      </c>
      <c r="P33" s="16"/>
      <c r="Q33" s="16" t="str">
        <f t="shared" ca="1" si="100"/>
        <v>P.3 (2)</v>
      </c>
      <c r="R33" s="16" t="str">
        <f t="shared" ca="1" si="101"/>
        <v>P.3 (2)</v>
      </c>
      <c r="S33" s="16"/>
      <c r="T33" s="16" t="str">
        <f t="shared" ca="1" si="102"/>
        <v>P.3 (2)</v>
      </c>
      <c r="U33" s="16" t="str">
        <f t="shared" ca="1" si="103"/>
        <v>P.3 (2)</v>
      </c>
      <c r="V33" s="17"/>
      <c r="W33" s="682"/>
      <c r="X33" s="28">
        <f ca="1">Horarios!C33</f>
        <v>46199.166666666664</v>
      </c>
      <c r="Y33" s="29">
        <f ca="1">Horarios!C33</f>
        <v>46199.166666666664</v>
      </c>
      <c r="Z33" s="30" t="str">
        <f>$Z$8</f>
        <v>R3</v>
      </c>
      <c r="AA33" s="31" t="str">
        <f ca="1">A30</f>
        <v>Paraguay</v>
      </c>
      <c r="AB33" s="52" t="e" cm="1" vm="14">
        <f t="array" aca="1" ref="AB33" ca="1">Ver_flag_local</f>
        <v>#VALUE!</v>
      </c>
      <c r="AC33" s="53">
        <v>1</v>
      </c>
      <c r="AD33" s="54">
        <v>1</v>
      </c>
      <c r="AE33" s="596" t="e" cm="1" vm="15">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Paraguay</v>
      </c>
      <c r="AM33" s="46">
        <f t="shared" ca="1" si="107"/>
        <v>1</v>
      </c>
      <c r="AN33" s="47">
        <f t="shared" ca="1" si="107"/>
        <v>3</v>
      </c>
      <c r="AO33" s="47">
        <f t="shared" ca="1" si="107"/>
        <v>0</v>
      </c>
      <c r="AP33" s="47">
        <f t="shared" ca="1" si="107"/>
        <v>1</v>
      </c>
      <c r="AQ33" s="47">
        <f t="shared" ca="1" si="107"/>
        <v>2</v>
      </c>
      <c r="AR33" s="47">
        <f t="shared" ca="1" si="107"/>
        <v>2</v>
      </c>
      <c r="AS33" s="47">
        <f t="shared" ca="1" si="107"/>
        <v>7</v>
      </c>
      <c r="AT33" s="48">
        <f t="shared" ca="1" si="107"/>
        <v>-5</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6</v>
      </c>
      <c r="BF33" s="16">
        <f t="shared" ca="1" si="41"/>
        <v>3</v>
      </c>
      <c r="BG33" s="16">
        <f t="shared" ca="1" si="17"/>
        <v>2</v>
      </c>
      <c r="BH33" s="16">
        <f t="shared" ca="1" si="18"/>
        <v>0</v>
      </c>
      <c r="BI33" s="16">
        <f t="shared" ca="1" si="19"/>
        <v>1</v>
      </c>
      <c r="BJ33" s="16">
        <f t="shared" ca="1" si="20"/>
        <v>6</v>
      </c>
      <c r="BK33" s="16">
        <f t="shared" ca="1" si="21"/>
        <v>3</v>
      </c>
      <c r="BL33" s="16">
        <f t="shared" ca="1" si="42"/>
        <v>3</v>
      </c>
      <c r="BM33" s="16" t="str">
        <f t="shared" ca="1" si="22"/>
        <v>2G</v>
      </c>
      <c r="BN33" s="16" t="str">
        <f t="shared" ca="1" si="23"/>
        <v>2G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6</v>
      </c>
      <c r="BS33" s="16">
        <f ca="1">BP33+COUNTIFS($BQ$6:$BQ$53,BQ33,$BR$6:BR$53,"&gt;"&amp;BR33,$BC$6:$BC$53,INDEX(T_Equipos[Grupo],MATCH(BD33,T_Equipos[NombreEquipo],0)))</f>
        <v>2</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2</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2</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2</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2</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2</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2</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2</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2</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2</v>
      </c>
      <c r="DE33" s="16"/>
      <c r="DF33" s="16">
        <f t="shared" ca="1" si="52"/>
        <v>2</v>
      </c>
      <c r="DG33" s="16" t="str">
        <f ca="1">IF(DB33="-","-",COUNTIFS(DF$6:DF$53,"&lt;"&amp;DF33,$BC$6:$BC$53,INDEX(T_Equipos[Grupo],MATCH(BD33,T_Equipos[NombreEquipo],0))))</f>
        <v>-</v>
      </c>
      <c r="DH33" s="16">
        <f ca="1">DA33+COUNTIFS(DB$6:DB$53,DB33,DG$6:DG$53,"&lt;"&amp;DG33,$BC$6:$BC$53,INDEX(T_Equipos[Grupo],MATCH(BD33,T_Equipos[NombreEquipo],0)))</f>
        <v>2</v>
      </c>
      <c r="DI33" s="16"/>
      <c r="DJ33" s="16">
        <f t="shared" ca="1" si="38"/>
        <v>4</v>
      </c>
      <c r="DK33" s="16">
        <f t="shared" ca="1" si="39"/>
        <v>12</v>
      </c>
      <c r="DL33" s="16">
        <f t="shared" ca="1" si="40"/>
        <v>1</v>
      </c>
      <c r="DM33" s="16" t="str">
        <f t="shared" ca="1" si="46"/>
        <v>4.1</v>
      </c>
      <c r="DN33" s="16" cm="1">
        <f t="array" aca="1" ref="DN33" ca="1">OFFSET(Horarios!$P$3,DJ33-1,0,DL33,1)</f>
        <v>4</v>
      </c>
      <c r="DO33" s="16"/>
      <c r="DP33" s="16" t="s">
        <v>114</v>
      </c>
      <c r="DQ33" s="16" t="str">
        <f t="shared" ca="1" si="47"/>
        <v>Iran</v>
      </c>
    </row>
    <row r="34" spans="1:121" ht="15.95"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7</v>
      </c>
      <c r="BF34" s="16">
        <f t="shared" ca="1" si="41"/>
        <v>3</v>
      </c>
      <c r="BG34" s="16">
        <f t="shared" ca="1" si="17"/>
        <v>2</v>
      </c>
      <c r="BH34" s="16">
        <f t="shared" ca="1" si="18"/>
        <v>1</v>
      </c>
      <c r="BI34" s="16">
        <f t="shared" ca="1" si="19"/>
        <v>0</v>
      </c>
      <c r="BJ34" s="16">
        <f t="shared" ca="1" si="20"/>
        <v>8</v>
      </c>
      <c r="BK34" s="16">
        <f t="shared" ca="1" si="21"/>
        <v>2</v>
      </c>
      <c r="BL34" s="16">
        <f t="shared" ca="1" si="42"/>
        <v>6</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7</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P.1 (2)</v>
      </c>
      <c r="BU34" s="16">
        <f t="shared" ca="1" si="24"/>
        <v>0</v>
      </c>
      <c r="BV34" s="16">
        <f t="shared" ca="1" si="25"/>
        <v>1</v>
      </c>
      <c r="BW34" s="16">
        <f t="shared" ca="1" si="26"/>
        <v>0</v>
      </c>
      <c r="BX34" s="16">
        <f t="shared" ca="1" si="48"/>
        <v>1</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P.1 (2)</v>
      </c>
      <c r="CA34" s="16">
        <f t="shared" ca="1" si="27"/>
        <v>2</v>
      </c>
      <c r="CB34" s="16">
        <f t="shared" ca="1" si="28"/>
        <v>2</v>
      </c>
      <c r="CC34" s="16">
        <f t="shared" ca="1" si="49"/>
        <v>0</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P.1 (2)</v>
      </c>
      <c r="CF34" s="16">
        <f t="shared" ca="1" si="29"/>
        <v>2</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P.1 (2)</v>
      </c>
      <c r="CI34" s="16">
        <f t="shared" ca="1" si="30"/>
        <v>0</v>
      </c>
      <c r="CJ34" s="16">
        <f t="shared" ca="1" si="31"/>
        <v>1</v>
      </c>
      <c r="CK34" s="16">
        <f t="shared" ca="1" si="32"/>
        <v>0</v>
      </c>
      <c r="CL34" s="16">
        <f t="shared" ca="1" si="50"/>
        <v>1</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P.1 (2)</v>
      </c>
      <c r="CO34" s="16">
        <f t="shared" ca="1" si="33"/>
        <v>2</v>
      </c>
      <c r="CP34" s="16">
        <f t="shared" ca="1" si="34"/>
        <v>2</v>
      </c>
      <c r="CQ34" s="16">
        <f t="shared" ca="1" si="51"/>
        <v>0</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P.1 (2)</v>
      </c>
      <c r="CT34" s="16">
        <f t="shared" ca="1" si="35"/>
        <v>2</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P.1 (2)</v>
      </c>
      <c r="CW34" s="16">
        <f t="shared" ca="1" si="36"/>
        <v>6</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115</v>
      </c>
      <c r="DQ34" s="16" t="str">
        <f t="shared" ca="1" si="47"/>
        <v>Spain</v>
      </c>
    </row>
    <row r="35" spans="1:121" ht="15.95"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0</v>
      </c>
      <c r="BF35" s="16">
        <f t="shared" ca="1" si="41"/>
        <v>3</v>
      </c>
      <c r="BG35" s="16">
        <f t="shared" ca="1" si="17"/>
        <v>0</v>
      </c>
      <c r="BH35" s="16">
        <f t="shared" ca="1" si="18"/>
        <v>0</v>
      </c>
      <c r="BI35" s="16">
        <f t="shared" ca="1" si="19"/>
        <v>3</v>
      </c>
      <c r="BJ35" s="16">
        <f t="shared" ca="1" si="20"/>
        <v>1</v>
      </c>
      <c r="BK35" s="16">
        <f t="shared" ca="1" si="21"/>
        <v>7</v>
      </c>
      <c r="BL35" s="16">
        <f t="shared" ca="1" si="42"/>
        <v>-6</v>
      </c>
      <c r="BM35" s="16" t="str">
        <f t="shared" ca="1" si="22"/>
        <v>4H</v>
      </c>
      <c r="BN35" s="16" t="str">
        <f t="shared" ca="1" si="23"/>
        <v>4H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0</v>
      </c>
      <c r="BS35" s="16">
        <f ca="1">BP35+COUNTIFS($BQ$6:$BQ$53,BQ35,$BR$6:BR$53,"&gt;"&amp;BR35,$BC$6:$BC$53,INDEX(T_Equipos[Grupo],MATCH(BD35,T_Equipos[NombreEquipo],0)))</f>
        <v>4</v>
      </c>
      <c r="BT35" s="16" t="str">
        <f ca="1">IF(COUNTIFS($BS$6:$BS$53,BS35,$BC$6:$BC$53,INDEX(T_Equipos[Grupo],MATCH(BD35,T_Equipos[NombreEquipo],0)))=1,"-","P."&amp;BS35&amp;" ("&amp;COUNTIFS($BS$6:$BS$53,BS35,$BC$6:$BC$53,INDEX(T_Equipos[Grupo],MATCH(BD35,T_Equipos[NombreEquipo],0)))&amp;")")</f>
        <v>-</v>
      </c>
      <c r="BU35" s="16" t="str">
        <f t="shared" ca="1" si="24"/>
        <v>-</v>
      </c>
      <c r="BV35" s="16" t="str">
        <f t="shared" ca="1" si="25"/>
        <v>-</v>
      </c>
      <c r="BW35" s="16" t="str">
        <f t="shared" ca="1" si="26"/>
        <v>-</v>
      </c>
      <c r="BX35" s="16" t="str">
        <f t="shared" ca="1" si="48"/>
        <v>-</v>
      </c>
      <c r="BY35" s="16">
        <f ca="1">BS35+COUNTIFS($BT$6:$BT$53,BT35,$BX$6:BX$53,"&gt;"&amp;BX35,$BC$6:$BC$53,INDEX(T_Equipos[Grupo],MATCH(BD35,T_Equipos[NombreEquipo],0)))</f>
        <v>4</v>
      </c>
      <c r="BZ35" s="16" t="str">
        <f ca="1">IF(COUNTIFS($BY$6:$BY$53,BY35,$BC$6:$BC$53,INDEX(T_Equipos[Grupo],MATCH(BD35,T_Equipos[NombreEquipo],0)))=1,"-","P."&amp;BY35&amp;" ("&amp;COUNTIFS($BY$6:$BY$53,BY35,$BC$6:$BC$53,INDEX(T_Equipos[Grupo],MATCH(BD35,T_Equipos[NombreEquipo],0)))&amp;")")</f>
        <v>-</v>
      </c>
      <c r="CA35" s="16" t="str">
        <f t="shared" ca="1" si="27"/>
        <v>-</v>
      </c>
      <c r="CB35" s="16" t="str">
        <f t="shared" ca="1" si="28"/>
        <v>-</v>
      </c>
      <c r="CC35" s="16" t="str">
        <f t="shared" ca="1" si="49"/>
        <v>-</v>
      </c>
      <c r="CD35" s="16">
        <f ca="1">BY35+COUNTIFS($BZ$6:$BZ$53,BZ35,$CC$6:CC$53,"&gt;"&amp;CC35,$BC$6:$BC$53,INDEX(T_Equipos[Grupo],MATCH(BD35,T_Equipos[NombreEquipo],0)))</f>
        <v>4</v>
      </c>
      <c r="CE35" s="16" t="str">
        <f ca="1">IF(COUNTIFS($CD$6:$CD$53,CD35,$BC$6:$BC$53,INDEX(T_Equipos[Grupo],MATCH(BD35,T_Equipos[NombreEquipo],0)))=1,"-","P."&amp;CD35&amp;" ("&amp;COUNTIFS($CD$6:$CD$53,CD35,$BC$6:$BC$53,INDEX(T_Equipos[Grupo],MATCH(BD35,T_Equipos[NombreEquipo],0)))&amp;")")</f>
        <v>-</v>
      </c>
      <c r="CF35" s="16" t="str">
        <f t="shared" ca="1" si="29"/>
        <v>-</v>
      </c>
      <c r="CG35" s="16">
        <f ca="1">CD35+COUNTIFS($CE$6:$CE$53,CE35,$CF$6:CF$53,"&gt;"&amp;CF35,$BC$6:$BC$53,INDEX(T_Equipos[Grupo],MATCH(BD35,T_Equipos[NombreEquipo],0)))</f>
        <v>4</v>
      </c>
      <c r="CH35" s="16" t="str">
        <f ca="1">IF(COUNTIFS($CG$6:$CG$53,CG35,$BC$6:$BC$53,INDEX(T_Equipos[Grupo],MATCH(BD35,T_Equipos[NombreEquipo],0)))=1,"-","P."&amp;CG35&amp;" ("&amp;COUNTIFS($CG$6:$CG$53,CG35,$BC$6:$BC$53,INDEX(T_Equipos[Grupo],MATCH(BD35,T_Equipos[NombreEquipo],0)))&amp;")")</f>
        <v>-</v>
      </c>
      <c r="CI35" s="16" t="str">
        <f t="shared" ca="1" si="30"/>
        <v>-</v>
      </c>
      <c r="CJ35" s="16" t="str">
        <f t="shared" ca="1" si="31"/>
        <v>-</v>
      </c>
      <c r="CK35" s="16" t="str">
        <f t="shared" ca="1" si="32"/>
        <v>-</v>
      </c>
      <c r="CL35" s="16" t="str">
        <f t="shared" ca="1" si="50"/>
        <v>-</v>
      </c>
      <c r="CM35" s="16">
        <f ca="1">CG35+COUNTIFS($CH$6:$CH$53,CH35,$CL$6:CL$53,"&gt;"&amp;CL35,$BC$6:$BC$53,INDEX(T_Equipos[Grupo],MATCH(BD35,T_Equipos[NombreEquipo],0)))</f>
        <v>4</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4</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4</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4</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4</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4</v>
      </c>
      <c r="DE35" s="16"/>
      <c r="DF35" s="16">
        <f t="shared" ca="1" si="52"/>
        <v>4</v>
      </c>
      <c r="DG35" s="16" t="str">
        <f ca="1">IF(DB35="-","-",COUNTIFS(DF$6:DF$53,"&lt;"&amp;DF35,$BC$6:$BC$53,INDEX(T_Equipos[Grupo],MATCH(BD35,T_Equipos[NombreEquipo],0))))</f>
        <v>-</v>
      </c>
      <c r="DH35" s="16">
        <f ca="1">DA35+COUNTIFS(DB$6:DB$53,DB35,DG$6:DG$53,"&lt;"&amp;DG35,$BC$6:$BC$53,INDEX(T_Equipos[Grupo],MATCH(BD35,T_Equipos[NombreEquipo],0)))</f>
        <v>4</v>
      </c>
      <c r="DI35" s="16"/>
      <c r="DJ35" s="16">
        <f t="shared" ca="1" si="38"/>
        <v>2</v>
      </c>
      <c r="DK35" s="16">
        <f t="shared" ca="1" si="39"/>
        <v>12</v>
      </c>
      <c r="DL35" s="16">
        <f t="shared" ca="1" si="40"/>
        <v>1</v>
      </c>
      <c r="DM35" s="16" t="str">
        <f t="shared" ca="1" si="46"/>
        <v>2.1</v>
      </c>
      <c r="DN35" s="16" cm="1">
        <f t="array" aca="1" ref="DN35" ca="1">OFFSET(Horarios!$P$3,DJ35-1,0,DL35,1)</f>
        <v>2</v>
      </c>
      <c r="DO35" s="16"/>
      <c r="DP35" s="16" t="s">
        <v>116</v>
      </c>
      <c r="DQ35" s="16" t="str">
        <f t="shared" ca="1" si="47"/>
        <v>Uruguay</v>
      </c>
    </row>
    <row r="36" spans="1:121" ht="15.95" customHeight="1" thickBot="1">
      <c r="A36" s="16" t="s">
        <v>29</v>
      </c>
      <c r="B36" s="16" t="s">
        <v>117</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83" t="s">
        <v>117</v>
      </c>
      <c r="X36" s="24">
        <f ca="1">Horarios!C36</f>
        <v>46187.791666666664</v>
      </c>
      <c r="Y36" s="25">
        <f ca="1">Horarios!C36</f>
        <v>46187.791666666664</v>
      </c>
      <c r="Z36" s="26" t="str">
        <f>$Z$4</f>
        <v>R1</v>
      </c>
      <c r="AA36" s="27" t="str">
        <f ca="1">A37</f>
        <v>Germany</v>
      </c>
      <c r="AB36" s="49" t="e" cm="1" vm="17">
        <f t="array" aca="1" ref="AB36" ca="1">Ver_flag_local</f>
        <v>#VALUE!</v>
      </c>
      <c r="AC36" s="50">
        <v>4</v>
      </c>
      <c r="AD36" s="51">
        <v>0</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2</v>
      </c>
      <c r="BK36" s="16">
        <f t="shared" ca="1" si="21"/>
        <v>6</v>
      </c>
      <c r="BL36" s="16">
        <f t="shared" ca="1" si="42"/>
        <v>-4</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3</v>
      </c>
      <c r="BT36" s="16" t="str">
        <f ca="1">IF(COUNTIFS($BS$6:$BS$53,BS36,$BC$6:$BC$53,INDEX(T_Equipos[Grupo],MATCH(BD36,T_Equipos[NombreEquipo],0)))=1,"-","P."&amp;BS36&amp;" ("&amp;COUNTIFS($BS$6:$BS$53,BS36,$BC$6:$BC$53,INDEX(T_Equipos[Grupo],MATCH(BD36,T_Equipos[NombreEquipo],0)))&amp;")")</f>
        <v>-</v>
      </c>
      <c r="BU36" s="16" t="str">
        <f t="shared" ca="1" si="24"/>
        <v>-</v>
      </c>
      <c r="BV36" s="16" t="str">
        <f t="shared" ca="1" si="25"/>
        <v>-</v>
      </c>
      <c r="BW36" s="16" t="str">
        <f t="shared" ca="1" si="26"/>
        <v>-</v>
      </c>
      <c r="BX36" s="16" t="str">
        <f t="shared" ca="1" si="48"/>
        <v>-</v>
      </c>
      <c r="BY36" s="16">
        <f ca="1">BS36+COUNTIFS($BT$6:$BT$53,BT36,$BX$6:BX$53,"&gt;"&amp;BX36,$BC$6:$BC$53,INDEX(T_Equipos[Grupo],MATCH(BD36,T_Equipos[NombreEquipo],0)))</f>
        <v>3</v>
      </c>
      <c r="BZ36" s="16" t="str">
        <f ca="1">IF(COUNTIFS($BY$6:$BY$53,BY36,$BC$6:$BC$53,INDEX(T_Equipos[Grupo],MATCH(BD36,T_Equipos[NombreEquipo],0)))=1,"-","P."&amp;BY36&amp;" ("&amp;COUNTIFS($BY$6:$BY$53,BY36,$BC$6:$BC$53,INDEX(T_Equipos[Grupo],MATCH(BD36,T_Equipos[NombreEquipo],0)))&amp;")")</f>
        <v>-</v>
      </c>
      <c r="CA36" s="16" t="str">
        <f t="shared" ca="1" si="27"/>
        <v>-</v>
      </c>
      <c r="CB36" s="16" t="str">
        <f t="shared" ca="1" si="28"/>
        <v>-</v>
      </c>
      <c r="CC36" s="16" t="str">
        <f t="shared" ca="1" si="49"/>
        <v>-</v>
      </c>
      <c r="CD36" s="16">
        <f ca="1">BY36+COUNTIFS($BZ$6:$BZ$53,BZ36,$CC$6:CC$53,"&gt;"&amp;CC36,$BC$6:$BC$53,INDEX(T_Equipos[Grupo],MATCH(BD36,T_Equipos[NombreEquipo],0)))</f>
        <v>3</v>
      </c>
      <c r="CE36" s="16" t="str">
        <f ca="1">IF(COUNTIFS($CD$6:$CD$53,CD36,$BC$6:$BC$53,INDEX(T_Equipos[Grupo],MATCH(BD36,T_Equipos[NombreEquipo],0)))=1,"-","P."&amp;CD36&amp;" ("&amp;COUNTIFS($CD$6:$CD$53,CD36,$BC$6:$BC$53,INDEX(T_Equipos[Grupo],MATCH(BD36,T_Equipos[NombreEquipo],0)))&amp;")")</f>
        <v>-</v>
      </c>
      <c r="CF36" s="16" t="str">
        <f t="shared" ca="1" si="29"/>
        <v>-</v>
      </c>
      <c r="CG36" s="16">
        <f ca="1">CD36+COUNTIFS($CE$6:$CE$53,CE36,$CF$6:CF$53,"&gt;"&amp;CF36,$BC$6:$BC$53,INDEX(T_Equipos[Grupo],MATCH(BD36,T_Equipos[NombreEquipo],0)))</f>
        <v>3</v>
      </c>
      <c r="CH36" s="16" t="str">
        <f ca="1">IF(COUNTIFS($CG$6:$CG$53,CG36,$BC$6:$BC$53,INDEX(T_Equipos[Grupo],MATCH(BD36,T_Equipos[NombreEquipo],0)))=1,"-","P."&amp;CG36&amp;" ("&amp;COUNTIFS($CG$6:$CG$53,CG36,$BC$6:$BC$53,INDEX(T_Equipos[Grupo],MATCH(BD36,T_Equipos[NombreEquipo],0)))&amp;")")</f>
        <v>-</v>
      </c>
      <c r="CI36" s="16" t="str">
        <f t="shared" ca="1" si="30"/>
        <v>-</v>
      </c>
      <c r="CJ36" s="16" t="str">
        <f t="shared" ca="1" si="31"/>
        <v>-</v>
      </c>
      <c r="CK36" s="16" t="str">
        <f t="shared" ca="1" si="32"/>
        <v>-</v>
      </c>
      <c r="CL36" s="16" t="str">
        <f t="shared" ca="1" si="50"/>
        <v>-</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118</v>
      </c>
      <c r="DQ36" s="16" t="str">
        <f t="shared" ca="1" si="47"/>
        <v>Saudi Arabia</v>
      </c>
    </row>
    <row r="37" spans="1:121" ht="15.95" customHeight="1">
      <c r="A37" s="16" t="str">
        <f ca="1">+Equipos!B18</f>
        <v>Germany</v>
      </c>
      <c r="B37" s="16"/>
      <c r="C37" s="16"/>
      <c r="D37" s="16" t="str">
        <f t="shared" si="111"/>
        <v>Empate</v>
      </c>
      <c r="E37" s="16" t="str">
        <f t="shared" ca="1" si="112"/>
        <v>P.2 (2)</v>
      </c>
      <c r="F37" s="16" t="str">
        <f t="shared" ca="1" si="113"/>
        <v>P.2 (2)</v>
      </c>
      <c r="G37" s="16"/>
      <c r="H37" s="16" t="str">
        <f t="shared" ca="1" si="114"/>
        <v>P.2 (2)</v>
      </c>
      <c r="I37" s="16" t="str">
        <f t="shared" ca="1" si="115"/>
        <v>P.2 (2)</v>
      </c>
      <c r="J37" s="16"/>
      <c r="K37" s="16" t="str">
        <f t="shared" ca="1" si="116"/>
        <v>P.2 (2)</v>
      </c>
      <c r="L37" s="16" t="str">
        <f t="shared" ca="1" si="117"/>
        <v>P.2 (2)</v>
      </c>
      <c r="M37" s="16"/>
      <c r="N37" s="16" t="str">
        <f t="shared" ca="1" si="118"/>
        <v>P.2 (2)</v>
      </c>
      <c r="O37" s="16" t="str">
        <f t="shared" ca="1" si="119"/>
        <v>P.2 (2)</v>
      </c>
      <c r="P37" s="16"/>
      <c r="Q37" s="16" t="str">
        <f t="shared" ca="1" si="120"/>
        <v>P.2 (2)</v>
      </c>
      <c r="R37" s="16" t="str">
        <f t="shared" ca="1" si="121"/>
        <v>P.2 (2)</v>
      </c>
      <c r="S37" s="16"/>
      <c r="T37" s="16" t="str">
        <f t="shared" ca="1" si="122"/>
        <v>P.2 (2)</v>
      </c>
      <c r="U37" s="16" t="str">
        <f t="shared" ca="1" si="123"/>
        <v>P.2 (2)</v>
      </c>
      <c r="V37" s="17"/>
      <c r="W37" s="683"/>
      <c r="X37" s="24">
        <f ca="1">Horarios!C37</f>
        <v>46188.041666666664</v>
      </c>
      <c r="Y37" s="25">
        <f ca="1">Horarios!C37</f>
        <v>46188.041666666664</v>
      </c>
      <c r="Z37" s="26" t="str">
        <f>$Z$4</f>
        <v>R1</v>
      </c>
      <c r="AA37" s="27" t="str">
        <f ca="1">A39</f>
        <v>Ivory Coast</v>
      </c>
      <c r="AB37" s="49" t="e" cm="1" vm="19">
        <f t="array" aca="1" ref="AB37" ca="1">Ver_flag_local</f>
        <v>#VALUE!</v>
      </c>
      <c r="AC37" s="50">
        <v>2</v>
      </c>
      <c r="AD37" s="51">
        <v>2</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7</v>
      </c>
      <c r="BF37" s="16">
        <f t="shared" ca="1" si="41"/>
        <v>3</v>
      </c>
      <c r="BG37" s="16">
        <f t="shared" ca="1" si="17"/>
        <v>2</v>
      </c>
      <c r="BH37" s="16">
        <f t="shared" ca="1" si="18"/>
        <v>1</v>
      </c>
      <c r="BI37" s="16">
        <f t="shared" ca="1" si="19"/>
        <v>0</v>
      </c>
      <c r="BJ37" s="16">
        <f t="shared" ca="1" si="20"/>
        <v>6</v>
      </c>
      <c r="BK37" s="16">
        <f t="shared" ca="1" si="21"/>
        <v>2</v>
      </c>
      <c r="BL37" s="16">
        <f t="shared" ca="1" si="42"/>
        <v>4</v>
      </c>
      <c r="BM37" s="16" t="str">
        <f t="shared" ca="1" si="22"/>
        <v>2H</v>
      </c>
      <c r="BN37" s="16" t="str">
        <f t="shared" ca="1" si="23"/>
        <v>2H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7</v>
      </c>
      <c r="BS37" s="16">
        <f ca="1">BP37+COUNTIFS($BQ$6:$BQ$53,BQ37,$BR$6:BR$53,"&gt;"&amp;BR37,$BC$6:$BC$53,INDEX(T_Equipos[Grupo],MATCH(BD37,T_Equipos[NombreEquipo],0)))</f>
        <v>1</v>
      </c>
      <c r="BT37" s="16" t="str">
        <f ca="1">IF(COUNTIFS($BS$6:$BS$53,BS37,$BC$6:$BC$53,INDEX(T_Equipos[Grupo],MATCH(BD37,T_Equipos[NombreEquipo],0)))=1,"-","P."&amp;BS37&amp;" ("&amp;COUNTIFS($BS$6:$BS$53,BS37,$BC$6:$BC$53,INDEX(T_Equipos[Grupo],MATCH(BD37,T_Equipos[NombreEquipo],0)))&amp;")")</f>
        <v>P.1 (2)</v>
      </c>
      <c r="BU37" s="16">
        <f t="shared" ca="1" si="24"/>
        <v>0</v>
      </c>
      <c r="BV37" s="16">
        <f t="shared" ca="1" si="25"/>
        <v>1</v>
      </c>
      <c r="BW37" s="16">
        <f t="shared" ca="1" si="26"/>
        <v>0</v>
      </c>
      <c r="BX37" s="16">
        <f t="shared" ca="1" si="48"/>
        <v>1</v>
      </c>
      <c r="BY37" s="16">
        <f ca="1">BS37+COUNTIFS($BT$6:$BT$53,BT37,$BX$6:BX$53,"&gt;"&amp;BX37,$BC$6:$BC$53,INDEX(T_Equipos[Grupo],MATCH(BD37,T_Equipos[NombreEquipo],0)))</f>
        <v>1</v>
      </c>
      <c r="BZ37" s="16" t="str">
        <f ca="1">IF(COUNTIFS($BY$6:$BY$53,BY37,$BC$6:$BC$53,INDEX(T_Equipos[Grupo],MATCH(BD37,T_Equipos[NombreEquipo],0)))=1,"-","P."&amp;BY37&amp;" ("&amp;COUNTIFS($BY$6:$BY$53,BY37,$BC$6:$BC$53,INDEX(T_Equipos[Grupo],MATCH(BD37,T_Equipos[NombreEquipo],0)))&amp;")")</f>
        <v>P.1 (2)</v>
      </c>
      <c r="CA37" s="16">
        <f t="shared" ca="1" si="27"/>
        <v>2</v>
      </c>
      <c r="CB37" s="16">
        <f t="shared" ca="1" si="28"/>
        <v>2</v>
      </c>
      <c r="CC37" s="16">
        <f t="shared" ca="1" si="49"/>
        <v>0</v>
      </c>
      <c r="CD37" s="16">
        <f ca="1">BY37+COUNTIFS($BZ$6:$BZ$53,BZ37,$CC$6:CC$53,"&gt;"&amp;CC37,$BC$6:$BC$53,INDEX(T_Equipos[Grupo],MATCH(BD37,T_Equipos[NombreEquipo],0)))</f>
        <v>1</v>
      </c>
      <c r="CE37" s="16" t="str">
        <f ca="1">IF(COUNTIFS($CD$6:$CD$53,CD37,$BC$6:$BC$53,INDEX(T_Equipos[Grupo],MATCH(BD37,T_Equipos[NombreEquipo],0)))=1,"-","P."&amp;CD37&amp;" ("&amp;COUNTIFS($CD$6:$CD$53,CD37,$BC$6:$BC$53,INDEX(T_Equipos[Grupo],MATCH(BD37,T_Equipos[NombreEquipo],0)))&amp;")")</f>
        <v>P.1 (2)</v>
      </c>
      <c r="CF37" s="16">
        <f t="shared" ca="1" si="29"/>
        <v>2</v>
      </c>
      <c r="CG37" s="16">
        <f ca="1">CD37+COUNTIFS($CE$6:$CE$53,CE37,$CF$6:CF$53,"&gt;"&amp;CF37,$BC$6:$BC$53,INDEX(T_Equipos[Grupo],MATCH(BD37,T_Equipos[NombreEquipo],0)))</f>
        <v>1</v>
      </c>
      <c r="CH37" s="16" t="str">
        <f ca="1">IF(COUNTIFS($CG$6:$CG$53,CG37,$BC$6:$BC$53,INDEX(T_Equipos[Grupo],MATCH(BD37,T_Equipos[NombreEquipo],0)))=1,"-","P."&amp;CG37&amp;" ("&amp;COUNTIFS($CG$6:$CG$53,CG37,$BC$6:$BC$53,INDEX(T_Equipos[Grupo],MATCH(BD37,T_Equipos[NombreEquipo],0)))&amp;")")</f>
        <v>P.1 (2)</v>
      </c>
      <c r="CI37" s="16">
        <f t="shared" ca="1" si="30"/>
        <v>0</v>
      </c>
      <c r="CJ37" s="16">
        <f t="shared" ca="1" si="31"/>
        <v>1</v>
      </c>
      <c r="CK37" s="16">
        <f t="shared" ca="1" si="32"/>
        <v>0</v>
      </c>
      <c r="CL37" s="16">
        <f t="shared" ca="1" si="50"/>
        <v>1</v>
      </c>
      <c r="CM37" s="16">
        <f ca="1">CG37+COUNTIFS($CH$6:$CH$53,CH37,$CL$6:CL$53,"&gt;"&amp;CL37,$BC$6:$BC$53,INDEX(T_Equipos[Grupo],MATCH(BD37,T_Equipos[NombreEquipo],0)))</f>
        <v>1</v>
      </c>
      <c r="CN37" s="16" t="str">
        <f ca="1">IF(COUNTIFS($CM$6:$CM$53,CM37,$BC$6:$BC$53,INDEX(T_Equipos[Grupo],MATCH(BD37,T_Equipos[NombreEquipo],0)))=1,"-","P."&amp;CM37&amp;" ("&amp;COUNTIFS($CM$6:$CM$53,CM37,$BC$6:$BC$53,INDEX(T_Equipos[Grupo],MATCH(BD37,T_Equipos[NombreEquipo],0)))&amp;")")</f>
        <v>P.1 (2)</v>
      </c>
      <c r="CO37" s="16">
        <f t="shared" ca="1" si="33"/>
        <v>2</v>
      </c>
      <c r="CP37" s="16">
        <f t="shared" ca="1" si="34"/>
        <v>2</v>
      </c>
      <c r="CQ37" s="16">
        <f t="shared" ca="1" si="51"/>
        <v>0</v>
      </c>
      <c r="CR37" s="16">
        <f ca="1">CM37+COUNTIFS($CN$6:$CN$53,CN37,$CQ$6:CQ$53,"&gt;"&amp;CQ37,$BC$6:$BC$53,INDEX(T_Equipos[Grupo],MATCH(BD37,T_Equipos[NombreEquipo],0)))</f>
        <v>1</v>
      </c>
      <c r="CS37" s="16" t="str">
        <f ca="1">IF(COUNTIFS($CR$6:$CR$53,CR37,$BC$6:$BC$53,INDEX(T_Equipos[Grupo],MATCH(BD37,T_Equipos[NombreEquipo],0)))=1,"-","P."&amp;CR37&amp;" ("&amp;COUNTIFS($CR$6:$CR$53,CR37,$BC$6:$BC$53,INDEX(T_Equipos[Grupo],MATCH(BD37,T_Equipos[NombreEquipo],0)))&amp;")")</f>
        <v>P.1 (2)</v>
      </c>
      <c r="CT37" s="16">
        <f t="shared" ca="1" si="35"/>
        <v>2</v>
      </c>
      <c r="CU37" s="16">
        <f ca="1">CR37+COUNTIFS($CS$6:$CS$53,CS37,$CT$6:CT$53,"&gt;"&amp;CT37,$BC$6:$BC$53,INDEX(T_Equipos[Grupo],MATCH(BD37,T_Equipos[NombreEquipo],0)))</f>
        <v>1</v>
      </c>
      <c r="CV37" s="16" t="str">
        <f ca="1">IF(COUNTIFS($CU$6:$CU$53,CU37,$BC$6:$BC$53,INDEX(T_Equipos[Grupo],MATCH(BD37,T_Equipos[NombreEquipo],0)))=1,"-","P."&amp;CU37&amp;" ("&amp;COUNTIFS($CU$6:$CU$53,CU37,$BC$6:$BC$53,INDEX(T_Equipos[Grupo],MATCH(BD37,T_Equipos[NombreEquipo],0)))&amp;")")</f>
        <v>P.1 (2)</v>
      </c>
      <c r="CW37" s="16">
        <f t="shared" ca="1" si="36"/>
        <v>4</v>
      </c>
      <c r="CX37" s="16">
        <f ca="1">CU37+COUNTIFS($CV$6:$CV$53,CV37,$CW$6:CW$53,"&gt;"&amp;CW37,$BC$6:$BC$53,INDEX(T_Equipos[Grupo],MATCH(BD37,T_Equipos[NombreEquipo],0)))</f>
        <v>2</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2</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2</v>
      </c>
      <c r="DE37" s="16"/>
      <c r="DF37" s="16">
        <f t="shared" ca="1" si="52"/>
        <v>2</v>
      </c>
      <c r="DG37" s="16" t="str">
        <f ca="1">IF(DB37="-","-",COUNTIFS(DF$6:DF$53,"&lt;"&amp;DF37,$BC$6:$BC$53,INDEX(T_Equipos[Grupo],MATCH(BD37,T_Equipos[NombreEquipo],0))))</f>
        <v>-</v>
      </c>
      <c r="DH37" s="16">
        <f ca="1">DA37+COUNTIFS(DB$6:DB$53,DB37,DG$6:DG$53,"&lt;"&amp;DG37,$BC$6:$BC$53,INDEX(T_Equipos[Grupo],MATCH(BD37,T_Equipos[NombreEquipo],0)))</f>
        <v>2</v>
      </c>
      <c r="DI37" s="16"/>
      <c r="DJ37" s="16">
        <f t="shared" ca="1" si="38"/>
        <v>4</v>
      </c>
      <c r="DK37" s="16">
        <f t="shared" ca="1" si="39"/>
        <v>12</v>
      </c>
      <c r="DL37" s="16">
        <f t="shared" ca="1" si="40"/>
        <v>1</v>
      </c>
      <c r="DM37" s="16" t="str">
        <f t="shared" ca="1" si="46"/>
        <v>4.1</v>
      </c>
      <c r="DN37" s="16" cm="1">
        <f t="array" aca="1" ref="DN37" ca="1">OFFSET(Horarios!$P$3,DJ37-1,0,DL37,1)</f>
        <v>4</v>
      </c>
      <c r="DO37" s="16"/>
      <c r="DP37" s="16" t="s">
        <v>119</v>
      </c>
      <c r="DQ37" s="16" t="str">
        <f t="shared" ca="1" si="47"/>
        <v>Cape Verde</v>
      </c>
    </row>
    <row r="38" spans="1:121" ht="15.95" customHeight="1">
      <c r="A38" s="16" t="str">
        <f ca="1">+Equipos!B19</f>
        <v>Curaçao</v>
      </c>
      <c r="B38" s="16"/>
      <c r="C38" s="16"/>
      <c r="D38" s="16" t="str">
        <f t="shared" si="111"/>
        <v>Local</v>
      </c>
      <c r="E38" s="16" t="str">
        <f t="shared" ca="1" si="112"/>
        <v>-</v>
      </c>
      <c r="F38" s="16" t="str">
        <f t="shared" ca="1" si="113"/>
        <v>P.2 (2)</v>
      </c>
      <c r="G38" s="16"/>
      <c r="H38" s="16" t="str">
        <f t="shared" ca="1" si="114"/>
        <v>-</v>
      </c>
      <c r="I38" s="16" t="str">
        <f t="shared" ca="1" si="115"/>
        <v>P.2 (2)</v>
      </c>
      <c r="J38" s="16"/>
      <c r="K38" s="16" t="str">
        <f t="shared" ca="1" si="116"/>
        <v>-</v>
      </c>
      <c r="L38" s="16" t="str">
        <f t="shared" ca="1" si="117"/>
        <v>P.2 (2)</v>
      </c>
      <c r="M38" s="16"/>
      <c r="N38" s="16" t="str">
        <f t="shared" ca="1" si="118"/>
        <v>-</v>
      </c>
      <c r="O38" s="16" t="str">
        <f t="shared" ca="1" si="119"/>
        <v>P.2 (2)</v>
      </c>
      <c r="P38" s="16"/>
      <c r="Q38" s="16" t="str">
        <f t="shared" ca="1" si="120"/>
        <v>-</v>
      </c>
      <c r="R38" s="16" t="str">
        <f t="shared" ca="1" si="121"/>
        <v>P.2 (2)</v>
      </c>
      <c r="S38" s="16"/>
      <c r="T38" s="16" t="str">
        <f t="shared" ca="1" si="122"/>
        <v>-</v>
      </c>
      <c r="U38" s="16" t="str">
        <f t="shared" ca="1" si="123"/>
        <v>P.2 (2)</v>
      </c>
      <c r="V38" s="17"/>
      <c r="W38" s="683"/>
      <c r="X38" s="24">
        <f ca="1">Horarios!C38</f>
        <v>46193.916666666664</v>
      </c>
      <c r="Y38" s="25">
        <f ca="1">Horarios!C38</f>
        <v>46193.916666666664</v>
      </c>
      <c r="Z38" s="26" t="str">
        <f>$Z$6</f>
        <v>R2</v>
      </c>
      <c r="AA38" s="27" t="str">
        <f ca="1">A37</f>
        <v>Germany</v>
      </c>
      <c r="AB38" s="49" t="e" cm="1" vm="17">
        <f t="array" aca="1" ref="AB38" ca="1">Ver_flag_local</f>
        <v>#VALUE!</v>
      </c>
      <c r="AC38" s="50">
        <v>2</v>
      </c>
      <c r="AD38" s="51">
        <v>1</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9</v>
      </c>
      <c r="AS38" s="36">
        <f t="shared" ca="1" si="127"/>
        <v>3</v>
      </c>
      <c r="AT38" s="41">
        <f t="shared" ca="1" si="127"/>
        <v>6</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8</v>
      </c>
      <c r="BK38" s="16">
        <f t="shared" ca="1" si="21"/>
        <v>1</v>
      </c>
      <c r="BL38" s="16">
        <f t="shared" ca="1" si="42"/>
        <v>7</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120</v>
      </c>
      <c r="DQ38" s="16" t="str">
        <f t="shared" ca="1" si="47"/>
        <v>France</v>
      </c>
    </row>
    <row r="39" spans="1:121" ht="15.95" customHeight="1">
      <c r="A39" s="16" t="str">
        <f ca="1">+Equipos!B20</f>
        <v>Ivory Coast</v>
      </c>
      <c r="B39" s="16"/>
      <c r="C39" s="16"/>
      <c r="D39" s="16" t="str">
        <f t="shared" si="111"/>
        <v>Local</v>
      </c>
      <c r="E39" s="16" t="str">
        <f t="shared" ca="1" si="112"/>
        <v>P.2 (2)</v>
      </c>
      <c r="F39" s="16" t="str">
        <f t="shared" ca="1" si="113"/>
        <v>-</v>
      </c>
      <c r="G39" s="16"/>
      <c r="H39" s="16" t="str">
        <f t="shared" ca="1" si="114"/>
        <v>P.2 (2)</v>
      </c>
      <c r="I39" s="16" t="str">
        <f t="shared" ca="1" si="115"/>
        <v>-</v>
      </c>
      <c r="J39" s="16"/>
      <c r="K39" s="16" t="str">
        <f t="shared" ca="1" si="116"/>
        <v>P.2 (2)</v>
      </c>
      <c r="L39" s="16" t="str">
        <f t="shared" ca="1" si="117"/>
        <v>-</v>
      </c>
      <c r="M39" s="16"/>
      <c r="N39" s="16" t="str">
        <f t="shared" ca="1" si="118"/>
        <v>P.2 (2)</v>
      </c>
      <c r="O39" s="16" t="str">
        <f t="shared" ca="1" si="119"/>
        <v>-</v>
      </c>
      <c r="P39" s="16"/>
      <c r="Q39" s="16" t="str">
        <f t="shared" ca="1" si="120"/>
        <v>P.2 (2)</v>
      </c>
      <c r="R39" s="16" t="str">
        <f t="shared" ca="1" si="121"/>
        <v>-</v>
      </c>
      <c r="S39" s="16"/>
      <c r="T39" s="16" t="str">
        <f t="shared" ca="1" si="122"/>
        <v>P.2 (2)</v>
      </c>
      <c r="U39" s="16" t="str">
        <f t="shared" ca="1" si="123"/>
        <v>-</v>
      </c>
      <c r="V39" s="17"/>
      <c r="W39" s="683"/>
      <c r="X39" s="24">
        <f ca="1">Horarios!C39</f>
        <v>46194.083333333336</v>
      </c>
      <c r="Y39" s="25">
        <f ca="1">Horarios!C39</f>
        <v>46194.083333333336</v>
      </c>
      <c r="Z39" s="26" t="str">
        <f>$Z$6</f>
        <v>R2</v>
      </c>
      <c r="AA39" s="27" t="str">
        <f ca="1">A40</f>
        <v>Ecuador</v>
      </c>
      <c r="AB39" s="49" t="e" cm="1" vm="20">
        <f t="array" aca="1" ref="AB39" ca="1">Ver_flag_local</f>
        <v>#VALUE!</v>
      </c>
      <c r="AC39" s="50">
        <v>3</v>
      </c>
      <c r="AD39" s="51">
        <v>0</v>
      </c>
      <c r="AE39" s="595" t="e" cm="1" vm="18">
        <f t="array" aca="1" ref="AE39" ca="1">Ver_flag_visit</f>
        <v>#VALUE!</v>
      </c>
      <c r="AF39" s="32" t="str">
        <f ca="1">A38</f>
        <v>Curaçao</v>
      </c>
      <c r="AG39" s="323">
        <f t="shared" si="124"/>
        <v>1</v>
      </c>
      <c r="AH39" s="195">
        <v>34</v>
      </c>
      <c r="AI39" s="181" t="str">
        <f t="shared" ref="AI39:AI41" si="128">AJ39&amp;$B$36</f>
        <v>2E</v>
      </c>
      <c r="AJ39" s="42">
        <v>2</v>
      </c>
      <c r="AK39" s="602" t="e" cm="1" vm="20">
        <f t="array" aca="1" ref="AK39" ca="1">Ver_flag_visit</f>
        <v>#VALUE!</v>
      </c>
      <c r="AL39" s="37" t="str">
        <f ca="1">IFERROR(INDEX($BD$6:$BD$53,MATCH(AI39,$BN$6:$BN$53,0)),"")</f>
        <v>Ecuador</v>
      </c>
      <c r="AM39" s="38">
        <f t="shared" ca="1" si="127"/>
        <v>4</v>
      </c>
      <c r="AN39" s="39">
        <f t="shared" ca="1" si="127"/>
        <v>3</v>
      </c>
      <c r="AO39" s="39">
        <f t="shared" ca="1" si="127"/>
        <v>1</v>
      </c>
      <c r="AP39" s="39">
        <f t="shared" ca="1" si="127"/>
        <v>1</v>
      </c>
      <c r="AQ39" s="39">
        <f t="shared" ca="1" si="127"/>
        <v>1</v>
      </c>
      <c r="AR39" s="39">
        <f t="shared" ca="1" si="127"/>
        <v>7</v>
      </c>
      <c r="AS39" s="39">
        <f t="shared" ca="1" si="127"/>
        <v>5</v>
      </c>
      <c r="AT39" s="43">
        <f t="shared" ca="1" si="127"/>
        <v>2</v>
      </c>
      <c r="AU39" s="330">
        <f ca="1">INDEX($DL$6:$DL$53,MATCH(AI39,$DP$6:$DP$53,0))</f>
        <v>1</v>
      </c>
      <c r="AV39" s="182" t="str">
        <f ca="1">INDEX($BD$6:$BD$53,MATCH(AI39,$BM$6:$BM$53,0))</f>
        <v>Ecuador</v>
      </c>
      <c r="AW39" s="210"/>
      <c r="AX39" s="171"/>
      <c r="AY39" s="203" t="str">
        <f ca="1">+A38</f>
        <v>Curaçao</v>
      </c>
      <c r="AZ39" s="204"/>
      <c r="BA39" s="176"/>
      <c r="BC39" s="16" t="str">
        <f ca="1">+INDEX(T_Equipos[Grupo],MATCH(WORLDCUP!BD39,T_Equipos[NombreEquipo],0))</f>
        <v>I</v>
      </c>
      <c r="BD39" s="16" t="str">
        <f ca="1">+Equipos!B35</f>
        <v>Senegal</v>
      </c>
      <c r="BE39" s="16">
        <f t="shared" ca="1" si="16"/>
        <v>6</v>
      </c>
      <c r="BF39" s="16">
        <f t="shared" ca="1" si="41"/>
        <v>3</v>
      </c>
      <c r="BG39" s="16">
        <f t="shared" ca="1" si="17"/>
        <v>2</v>
      </c>
      <c r="BH39" s="16">
        <f t="shared" ca="1" si="18"/>
        <v>0</v>
      </c>
      <c r="BI39" s="16">
        <f t="shared" ca="1" si="19"/>
        <v>1</v>
      </c>
      <c r="BJ39" s="16">
        <f t="shared" ca="1" si="20"/>
        <v>7</v>
      </c>
      <c r="BK39" s="16">
        <f t="shared" ca="1" si="21"/>
        <v>4</v>
      </c>
      <c r="BL39" s="16">
        <f t="shared" ca="1" si="42"/>
        <v>3</v>
      </c>
      <c r="BM39" s="16" t="str">
        <f t="shared" ca="1" si="22"/>
        <v>2I</v>
      </c>
      <c r="BN39" s="16" t="str">
        <f t="shared" ca="1" si="23"/>
        <v>2I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6</v>
      </c>
      <c r="BS39" s="16">
        <f ca="1">BP39+COUNTIFS($BQ$6:$BQ$53,BQ39,$BR$6:BR$53,"&gt;"&amp;BR39,$BC$6:$BC$53,INDEX(T_Equipos[Grupo],MATCH(BD39,T_Equipos[NombreEquipo],0)))</f>
        <v>2</v>
      </c>
      <c r="BT39" s="16" t="str">
        <f ca="1">IF(COUNTIFS($BS$6:$BS$53,BS39,$BC$6:$BC$53,INDEX(T_Equipos[Grupo],MATCH(BD39,T_Equipos[NombreEquipo],0)))=1,"-","P."&amp;BS39&amp;" ("&amp;COUNTIFS($BS$6:$BS$53,BS39,$BC$6:$BC$53,INDEX(T_Equipos[Grupo],MATCH(BD39,T_Equipos[NombreEquipo],0)))&amp;")")</f>
        <v>-</v>
      </c>
      <c r="BU39" s="16" t="str">
        <f t="shared" ca="1" si="24"/>
        <v>-</v>
      </c>
      <c r="BV39" s="16" t="str">
        <f t="shared" ca="1" si="25"/>
        <v>-</v>
      </c>
      <c r="BW39" s="16" t="str">
        <f t="shared" ca="1" si="26"/>
        <v>-</v>
      </c>
      <c r="BX39" s="16" t="str">
        <f t="shared" ca="1" si="48"/>
        <v>-</v>
      </c>
      <c r="BY39" s="16">
        <f ca="1">BS39+COUNTIFS($BT$6:$BT$53,BT39,$BX$6:BX$53,"&gt;"&amp;BX39,$BC$6:$BC$53,INDEX(T_Equipos[Grupo],MATCH(BD39,T_Equipos[NombreEquipo],0)))</f>
        <v>2</v>
      </c>
      <c r="BZ39" s="16" t="str">
        <f ca="1">IF(COUNTIFS($BY$6:$BY$53,BY39,$BC$6:$BC$53,INDEX(T_Equipos[Grupo],MATCH(BD39,T_Equipos[NombreEquipo],0)))=1,"-","P."&amp;BY39&amp;" ("&amp;COUNTIFS($BY$6:$BY$53,BY39,$BC$6:$BC$53,INDEX(T_Equipos[Grupo],MATCH(BD39,T_Equipos[NombreEquipo],0)))&amp;")")</f>
        <v>-</v>
      </c>
      <c r="CA39" s="16" t="str">
        <f t="shared" ca="1" si="27"/>
        <v>-</v>
      </c>
      <c r="CB39" s="16" t="str">
        <f t="shared" ca="1" si="28"/>
        <v>-</v>
      </c>
      <c r="CC39" s="16" t="str">
        <f t="shared" ca="1" si="49"/>
        <v>-</v>
      </c>
      <c r="CD39" s="16">
        <f ca="1">BY39+COUNTIFS($BZ$6:$BZ$53,BZ39,$CC$6:CC$53,"&gt;"&amp;CC39,$BC$6:$BC$53,INDEX(T_Equipos[Grupo],MATCH(BD39,T_Equipos[NombreEquipo],0)))</f>
        <v>2</v>
      </c>
      <c r="CE39" s="16" t="str">
        <f ca="1">IF(COUNTIFS($CD$6:$CD$53,CD39,$BC$6:$BC$53,INDEX(T_Equipos[Grupo],MATCH(BD39,T_Equipos[NombreEquipo],0)))=1,"-","P."&amp;CD39&amp;" ("&amp;COUNTIFS($CD$6:$CD$53,CD39,$BC$6:$BC$53,INDEX(T_Equipos[Grupo],MATCH(BD39,T_Equipos[NombreEquipo],0)))&amp;")")</f>
        <v>-</v>
      </c>
      <c r="CF39" s="16" t="str">
        <f t="shared" ca="1" si="29"/>
        <v>-</v>
      </c>
      <c r="CG39" s="16">
        <f ca="1">CD39+COUNTIFS($CE$6:$CE$53,CE39,$CF$6:CF$53,"&gt;"&amp;CF39,$BC$6:$BC$53,INDEX(T_Equipos[Grupo],MATCH(BD39,T_Equipos[NombreEquipo],0)))</f>
        <v>2</v>
      </c>
      <c r="CH39" s="16" t="str">
        <f ca="1">IF(COUNTIFS($CG$6:$CG$53,CG39,$BC$6:$BC$53,INDEX(T_Equipos[Grupo],MATCH(BD39,T_Equipos[NombreEquipo],0)))=1,"-","P."&amp;CG39&amp;" ("&amp;COUNTIFS($CG$6:$CG$53,CG39,$BC$6:$BC$53,INDEX(T_Equipos[Grupo],MATCH(BD39,T_Equipos[NombreEquipo],0)))&amp;")")</f>
        <v>-</v>
      </c>
      <c r="CI39" s="16" t="str">
        <f t="shared" ca="1" si="30"/>
        <v>-</v>
      </c>
      <c r="CJ39" s="16" t="str">
        <f t="shared" ca="1" si="31"/>
        <v>-</v>
      </c>
      <c r="CK39" s="16" t="str">
        <f t="shared" ca="1" si="32"/>
        <v>-</v>
      </c>
      <c r="CL39" s="16" t="str">
        <f t="shared" ca="1" si="50"/>
        <v>-</v>
      </c>
      <c r="CM39" s="16">
        <f ca="1">CG39+COUNTIFS($CH$6:$CH$53,CH39,$CL$6:CL$53,"&gt;"&amp;CL39,$BC$6:$BC$53,INDEX(T_Equipos[Grupo],MATCH(BD39,T_Equipos[NombreEquipo],0)))</f>
        <v>2</v>
      </c>
      <c r="CN39" s="16" t="str">
        <f ca="1">IF(COUNTIFS($CM$6:$CM$53,CM39,$BC$6:$BC$53,INDEX(T_Equipos[Grupo],MATCH(BD39,T_Equipos[NombreEquipo],0)))=1,"-","P."&amp;CM39&amp;" ("&amp;COUNTIFS($CM$6:$CM$53,CM39,$BC$6:$BC$53,INDEX(T_Equipos[Grupo],MATCH(BD39,T_Equipos[NombreEquipo],0)))&amp;")")</f>
        <v>-</v>
      </c>
      <c r="CO39" s="16" t="str">
        <f t="shared" ca="1" si="33"/>
        <v>-</v>
      </c>
      <c r="CP39" s="16" t="str">
        <f t="shared" ca="1" si="34"/>
        <v>-</v>
      </c>
      <c r="CQ39" s="16" t="str">
        <f t="shared" ca="1" si="51"/>
        <v>-</v>
      </c>
      <c r="CR39" s="16">
        <f ca="1">CM39+COUNTIFS($CN$6:$CN$53,CN39,$CQ$6:CQ$53,"&gt;"&amp;CQ39,$BC$6:$BC$53,INDEX(T_Equipos[Grupo],MATCH(BD39,T_Equipos[NombreEquipo],0)))</f>
        <v>2</v>
      </c>
      <c r="CS39" s="16" t="str">
        <f ca="1">IF(COUNTIFS($CR$6:$CR$53,CR39,$BC$6:$BC$53,INDEX(T_Equipos[Grupo],MATCH(BD39,T_Equipos[NombreEquipo],0)))=1,"-","P."&amp;CR39&amp;" ("&amp;COUNTIFS($CR$6:$CR$53,CR39,$BC$6:$BC$53,INDEX(T_Equipos[Grupo],MATCH(BD39,T_Equipos[NombreEquipo],0)))&amp;")")</f>
        <v>-</v>
      </c>
      <c r="CT39" s="16" t="str">
        <f t="shared" ca="1" si="35"/>
        <v>-</v>
      </c>
      <c r="CU39" s="16">
        <f ca="1">CR39+COUNTIFS($CS$6:$CS$53,CS39,$CT$6:CT$53,"&gt;"&amp;CT39,$BC$6:$BC$53,INDEX(T_Equipos[Grupo],MATCH(BD39,T_Equipos[NombreEquipo],0)))</f>
        <v>2</v>
      </c>
      <c r="CV39" s="16" t="str">
        <f ca="1">IF(COUNTIFS($CU$6:$CU$53,CU39,$BC$6:$BC$53,INDEX(T_Equipos[Grupo],MATCH(BD39,T_Equipos[NombreEquipo],0)))=1,"-","P."&amp;CU39&amp;" ("&amp;COUNTIFS($CU$6:$CU$53,CU39,$BC$6:$BC$53,INDEX(T_Equipos[Grupo],MATCH(BD39,T_Equipos[NombreEquipo],0)))&amp;")")</f>
        <v>-</v>
      </c>
      <c r="CW39" s="16" t="str">
        <f t="shared" ca="1" si="36"/>
        <v>-</v>
      </c>
      <c r="CX39" s="16">
        <f ca="1">CU39+COUNTIFS($CV$6:$CV$53,CV39,$CW$6:CW$53,"&gt;"&amp;CW39,$BC$6:$BC$53,INDEX(T_Equipos[Grupo],MATCH(BD39,T_Equipos[NombreEquipo],0)))</f>
        <v>2</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2</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2</v>
      </c>
      <c r="DE39" s="16"/>
      <c r="DF39" s="16">
        <f t="shared" ca="1" si="52"/>
        <v>2</v>
      </c>
      <c r="DG39" s="16" t="str">
        <f ca="1">IF(DB39="-","-",COUNTIFS(DF$6:DF$53,"&lt;"&amp;DF39,$BC$6:$BC$53,INDEX(T_Equipos[Grupo],MATCH(BD39,T_Equipos[NombreEquipo],0))))</f>
        <v>-</v>
      </c>
      <c r="DH39" s="16">
        <f ca="1">DA39+COUNTIFS(DB$6:DB$53,DB39,DG$6:DG$53,"&lt;"&amp;DG39,$BC$6:$BC$53,INDEX(T_Equipos[Grupo],MATCH(BD39,T_Equipos[NombreEquipo],0)))</f>
        <v>2</v>
      </c>
      <c r="DI39" s="16"/>
      <c r="DJ39" s="16">
        <f t="shared" ca="1" si="38"/>
        <v>2</v>
      </c>
      <c r="DK39" s="16">
        <f t="shared" ca="1" si="39"/>
        <v>12</v>
      </c>
      <c r="DL39" s="16">
        <f t="shared" ca="1" si="40"/>
        <v>1</v>
      </c>
      <c r="DM39" s="16" t="str">
        <f t="shared" ca="1" si="46"/>
        <v>2.1</v>
      </c>
      <c r="DN39" s="16" cm="1">
        <f t="array" aca="1" ref="DN39" ca="1">OFFSET(Horarios!$P$3,DJ39-1,0,DL39,1)</f>
        <v>2</v>
      </c>
      <c r="DO39" s="16"/>
      <c r="DP39" s="16" t="s">
        <v>121</v>
      </c>
      <c r="DQ39" s="16" t="str">
        <f t="shared" ca="1" si="47"/>
        <v>Senegal</v>
      </c>
    </row>
    <row r="40" spans="1:121" ht="15.95" customHeight="1">
      <c r="A40" s="16" t="str">
        <f ca="1">+Equipos!B21</f>
        <v>Ecuador</v>
      </c>
      <c r="B40" s="16"/>
      <c r="C40" s="16"/>
      <c r="D40" s="16" t="str">
        <f t="shared" si="111"/>
        <v>Visitante</v>
      </c>
      <c r="E40" s="16" t="str">
        <f t="shared" ca="1" si="112"/>
        <v>-</v>
      </c>
      <c r="F40" s="16" t="str">
        <f t="shared" ca="1" si="113"/>
        <v>P.2 (2)</v>
      </c>
      <c r="G40" s="16"/>
      <c r="H40" s="16" t="str">
        <f t="shared" ca="1" si="114"/>
        <v>-</v>
      </c>
      <c r="I40" s="16" t="str">
        <f t="shared" ca="1" si="115"/>
        <v>P.2 (2)</v>
      </c>
      <c r="J40" s="16"/>
      <c r="K40" s="16" t="str">
        <f t="shared" ca="1" si="116"/>
        <v>-</v>
      </c>
      <c r="L40" s="16" t="str">
        <f t="shared" ca="1" si="117"/>
        <v>P.2 (2)</v>
      </c>
      <c r="M40" s="16"/>
      <c r="N40" s="16" t="str">
        <f t="shared" ca="1" si="118"/>
        <v>-</v>
      </c>
      <c r="O40" s="16" t="str">
        <f t="shared" ca="1" si="119"/>
        <v>P.2 (2)</v>
      </c>
      <c r="P40" s="16"/>
      <c r="Q40" s="16" t="str">
        <f t="shared" ca="1" si="120"/>
        <v>-</v>
      </c>
      <c r="R40" s="16" t="str">
        <f t="shared" ca="1" si="121"/>
        <v>P.2 (2)</v>
      </c>
      <c r="S40" s="16"/>
      <c r="T40" s="16" t="str">
        <f t="shared" ca="1" si="122"/>
        <v>-</v>
      </c>
      <c r="U40" s="16" t="str">
        <f t="shared" ca="1" si="123"/>
        <v>P.2 (2)</v>
      </c>
      <c r="V40" s="17"/>
      <c r="W40" s="683"/>
      <c r="X40" s="24">
        <f ca="1">Horarios!C40</f>
        <v>46198.916666666664</v>
      </c>
      <c r="Y40" s="25">
        <f ca="1">Horarios!C40</f>
        <v>46198.916666666664</v>
      </c>
      <c r="Z40" s="26" t="str">
        <f>$Z$8</f>
        <v>R3</v>
      </c>
      <c r="AA40" s="27" t="str">
        <f ca="1">A38</f>
        <v>Curaçao</v>
      </c>
      <c r="AB40" s="49" t="e" cm="1" vm="18">
        <f t="array" aca="1" ref="AB40" ca="1">Ver_flag_local</f>
        <v>#VALUE!</v>
      </c>
      <c r="AC40" s="50">
        <v>1</v>
      </c>
      <c r="AD40" s="51">
        <v>3</v>
      </c>
      <c r="AE40" s="595" t="e" cm="1" vm="19">
        <f t="array" aca="1" ref="AE40" ca="1">Ver_flag_visit</f>
        <v>#VALUE!</v>
      </c>
      <c r="AF40" s="32" t="str">
        <f ca="1">A39</f>
        <v>Ivory Coast</v>
      </c>
      <c r="AG40" s="323">
        <f t="shared" si="124"/>
        <v>1</v>
      </c>
      <c r="AH40" s="195">
        <v>55</v>
      </c>
      <c r="AI40" s="181" t="str">
        <f t="shared" si="128"/>
        <v>3E</v>
      </c>
      <c r="AJ40" s="42">
        <v>3</v>
      </c>
      <c r="AK40" s="602" t="e" cm="1" vm="19">
        <f t="array" aca="1" ref="AK40" ca="1">Ver_flag_visit</f>
        <v>#VALUE!</v>
      </c>
      <c r="AL40" s="37" t="str">
        <f ca="1">IFERROR(INDEX($BD$6:$BD$53,MATCH(AI40,$BN$6:$BN$53,0)),"")</f>
        <v>Ivory Coast</v>
      </c>
      <c r="AM40" s="38">
        <f t="shared" ca="1" si="127"/>
        <v>4</v>
      </c>
      <c r="AN40" s="39">
        <f t="shared" ca="1" si="127"/>
        <v>3</v>
      </c>
      <c r="AO40" s="39">
        <f t="shared" ca="1" si="127"/>
        <v>1</v>
      </c>
      <c r="AP40" s="39">
        <f t="shared" ca="1" si="127"/>
        <v>1</v>
      </c>
      <c r="AQ40" s="39">
        <f t="shared" ca="1" si="127"/>
        <v>1</v>
      </c>
      <c r="AR40" s="39">
        <f t="shared" ca="1" si="127"/>
        <v>6</v>
      </c>
      <c r="AS40" s="39">
        <f t="shared" ca="1" si="127"/>
        <v>5</v>
      </c>
      <c r="AT40" s="43">
        <f t="shared" ca="1" si="127"/>
        <v>1</v>
      </c>
      <c r="AU40" s="330">
        <f ca="1">INDEX($DL$6:$DL$53,MATCH(AI40,$DP$6:$DP$53,0))</f>
        <v>1</v>
      </c>
      <c r="AV40" s="182" t="str">
        <f ca="1">INDEX($BD$6:$BD$53,MATCH(AI40,$BM$6:$BM$53,0))</f>
        <v>Ivory Coast</v>
      </c>
      <c r="AW40" s="210"/>
      <c r="AX40" s="171"/>
      <c r="AY40" s="201" t="str">
        <f ca="1">+A39</f>
        <v>Ivory Coast</v>
      </c>
      <c r="AZ40" s="202"/>
      <c r="BA40" s="176"/>
      <c r="BC40" s="16" t="str">
        <f ca="1">+INDEX(T_Equipos[Grupo],MATCH(WORLDCUP!BD40,T_Equipos[NombreEquipo],0))</f>
        <v>I</v>
      </c>
      <c r="BD40" s="16" t="str">
        <f ca="1">+Equipos!B36</f>
        <v>Iraq</v>
      </c>
      <c r="BE40" s="16">
        <f t="shared" ca="1" si="16"/>
        <v>0</v>
      </c>
      <c r="BF40" s="16">
        <f t="shared" ca="1" si="41"/>
        <v>3</v>
      </c>
      <c r="BG40" s="16">
        <f t="shared" ca="1" si="17"/>
        <v>0</v>
      </c>
      <c r="BH40" s="16">
        <f t="shared" ca="1" si="18"/>
        <v>0</v>
      </c>
      <c r="BI40" s="16">
        <f t="shared" ca="1" si="19"/>
        <v>3</v>
      </c>
      <c r="BJ40" s="16">
        <f t="shared" ca="1" si="20"/>
        <v>0</v>
      </c>
      <c r="BK40" s="16">
        <f t="shared" ca="1" si="21"/>
        <v>9</v>
      </c>
      <c r="BL40" s="16">
        <f t="shared" ca="1" si="42"/>
        <v>-9</v>
      </c>
      <c r="BM40" s="16" t="str">
        <f t="shared" ca="1" si="22"/>
        <v>4I</v>
      </c>
      <c r="BN40" s="16" t="str">
        <f t="shared" ca="1" si="23"/>
        <v>4I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0</v>
      </c>
      <c r="BS40" s="16">
        <f ca="1">BP40+COUNTIFS($BQ$6:$BQ$53,BQ40,$BR$6:BR$53,"&gt;"&amp;BR40,$BC$6:$BC$53,INDEX(T_Equipos[Grupo],MATCH(BD40,T_Equipos[NombreEquipo],0)))</f>
        <v>4</v>
      </c>
      <c r="BT40" s="16" t="str">
        <f ca="1">IF(COUNTIFS($BS$6:$BS$53,BS40,$BC$6:$BC$53,INDEX(T_Equipos[Grupo],MATCH(BD40,T_Equipos[NombreEquipo],0)))=1,"-","P."&amp;BS40&amp;" ("&amp;COUNTIFS($BS$6:$BS$53,BS40,$BC$6:$BC$53,INDEX(T_Equipos[Grupo],MATCH(BD40,T_Equipos[NombreEquipo],0)))&amp;")")</f>
        <v>-</v>
      </c>
      <c r="BU40" s="16" t="str">
        <f t="shared" ca="1" si="24"/>
        <v>-</v>
      </c>
      <c r="BV40" s="16" t="str">
        <f t="shared" ca="1" si="25"/>
        <v>-</v>
      </c>
      <c r="BW40" s="16" t="str">
        <f t="shared" ca="1" si="26"/>
        <v>-</v>
      </c>
      <c r="BX40" s="16" t="str">
        <f t="shared" ca="1" si="48"/>
        <v>-</v>
      </c>
      <c r="BY40" s="16">
        <f ca="1">BS40+COUNTIFS($BT$6:$BT$53,BT40,$BX$6:BX$53,"&gt;"&amp;BX40,$BC$6:$BC$53,INDEX(T_Equipos[Grupo],MATCH(BD40,T_Equipos[NombreEquipo],0)))</f>
        <v>4</v>
      </c>
      <c r="BZ40" s="16" t="str">
        <f ca="1">IF(COUNTIFS($BY$6:$BY$53,BY40,$BC$6:$BC$53,INDEX(T_Equipos[Grupo],MATCH(BD40,T_Equipos[NombreEquipo],0)))=1,"-","P."&amp;BY40&amp;" ("&amp;COUNTIFS($BY$6:$BY$53,BY40,$BC$6:$BC$53,INDEX(T_Equipos[Grupo],MATCH(BD40,T_Equipos[NombreEquipo],0)))&amp;")")</f>
        <v>-</v>
      </c>
      <c r="CA40" s="16" t="str">
        <f t="shared" ca="1" si="27"/>
        <v>-</v>
      </c>
      <c r="CB40" s="16" t="str">
        <f t="shared" ca="1" si="28"/>
        <v>-</v>
      </c>
      <c r="CC40" s="16" t="str">
        <f t="shared" ca="1" si="49"/>
        <v>-</v>
      </c>
      <c r="CD40" s="16">
        <f ca="1">BY40+COUNTIFS($BZ$6:$BZ$53,BZ40,$CC$6:CC$53,"&gt;"&amp;CC40,$BC$6:$BC$53,INDEX(T_Equipos[Grupo],MATCH(BD40,T_Equipos[NombreEquipo],0)))</f>
        <v>4</v>
      </c>
      <c r="CE40" s="16" t="str">
        <f ca="1">IF(COUNTIFS($CD$6:$CD$53,CD40,$BC$6:$BC$53,INDEX(T_Equipos[Grupo],MATCH(BD40,T_Equipos[NombreEquipo],0)))=1,"-","P."&amp;CD40&amp;" ("&amp;COUNTIFS($CD$6:$CD$53,CD40,$BC$6:$BC$53,INDEX(T_Equipos[Grupo],MATCH(BD40,T_Equipos[NombreEquipo],0)))&amp;")")</f>
        <v>-</v>
      </c>
      <c r="CF40" s="16" t="str">
        <f t="shared" ca="1" si="29"/>
        <v>-</v>
      </c>
      <c r="CG40" s="16">
        <f ca="1">CD40+COUNTIFS($CE$6:$CE$53,CE40,$CF$6:CF$53,"&gt;"&amp;CF40,$BC$6:$BC$53,INDEX(T_Equipos[Grupo],MATCH(BD40,T_Equipos[NombreEquipo],0)))</f>
        <v>4</v>
      </c>
      <c r="CH40" s="16" t="str">
        <f ca="1">IF(COUNTIFS($CG$6:$CG$53,CG40,$BC$6:$BC$53,INDEX(T_Equipos[Grupo],MATCH(BD40,T_Equipos[NombreEquipo],0)))=1,"-","P."&amp;CG40&amp;" ("&amp;COUNTIFS($CG$6:$CG$53,CG40,$BC$6:$BC$53,INDEX(T_Equipos[Grupo],MATCH(BD40,T_Equipos[NombreEquipo],0)))&amp;")")</f>
        <v>-</v>
      </c>
      <c r="CI40" s="16" t="str">
        <f t="shared" ca="1" si="30"/>
        <v>-</v>
      </c>
      <c r="CJ40" s="16" t="str">
        <f t="shared" ca="1" si="31"/>
        <v>-</v>
      </c>
      <c r="CK40" s="16" t="str">
        <f t="shared" ca="1" si="32"/>
        <v>-</v>
      </c>
      <c r="CL40" s="16" t="str">
        <f t="shared" ca="1" si="50"/>
        <v>-</v>
      </c>
      <c r="CM40" s="16">
        <f ca="1">CG40+COUNTIFS($CH$6:$CH$53,CH40,$CL$6:CL$53,"&gt;"&amp;CL40,$BC$6:$BC$53,INDEX(T_Equipos[Grupo],MATCH(BD40,T_Equipos[NombreEquipo],0)))</f>
        <v>4</v>
      </c>
      <c r="CN40" s="16" t="str">
        <f ca="1">IF(COUNTIFS($CM$6:$CM$53,CM40,$BC$6:$BC$53,INDEX(T_Equipos[Grupo],MATCH(BD40,T_Equipos[NombreEquipo],0)))=1,"-","P."&amp;CM40&amp;" ("&amp;COUNTIFS($CM$6:$CM$53,CM40,$BC$6:$BC$53,INDEX(T_Equipos[Grupo],MATCH(BD40,T_Equipos[NombreEquipo],0)))&amp;")")</f>
        <v>-</v>
      </c>
      <c r="CO40" s="16" t="str">
        <f t="shared" ca="1" si="33"/>
        <v>-</v>
      </c>
      <c r="CP40" s="16" t="str">
        <f t="shared" ca="1" si="34"/>
        <v>-</v>
      </c>
      <c r="CQ40" s="16" t="str">
        <f t="shared" ca="1" si="51"/>
        <v>-</v>
      </c>
      <c r="CR40" s="16">
        <f ca="1">CM40+COUNTIFS($CN$6:$CN$53,CN40,$CQ$6:CQ$53,"&gt;"&amp;CQ40,$BC$6:$BC$53,INDEX(T_Equipos[Grupo],MATCH(BD40,T_Equipos[NombreEquipo],0)))</f>
        <v>4</v>
      </c>
      <c r="CS40" s="16" t="str">
        <f ca="1">IF(COUNTIFS($CR$6:$CR$53,CR40,$BC$6:$BC$53,INDEX(T_Equipos[Grupo],MATCH(BD40,T_Equipos[NombreEquipo],0)))=1,"-","P."&amp;CR40&amp;" ("&amp;COUNTIFS($CR$6:$CR$53,CR40,$BC$6:$BC$53,INDEX(T_Equipos[Grupo],MATCH(BD40,T_Equipos[NombreEquipo],0)))&amp;")")</f>
        <v>-</v>
      </c>
      <c r="CT40" s="16" t="str">
        <f t="shared" ca="1" si="35"/>
        <v>-</v>
      </c>
      <c r="CU40" s="16">
        <f ca="1">CR40+COUNTIFS($CS$6:$CS$53,CS40,$CT$6:CT$53,"&gt;"&amp;CT40,$BC$6:$BC$53,INDEX(T_Equipos[Grupo],MATCH(BD40,T_Equipos[NombreEquipo],0)))</f>
        <v>4</v>
      </c>
      <c r="CV40" s="16" t="str">
        <f ca="1">IF(COUNTIFS($CU$6:$CU$53,CU40,$BC$6:$BC$53,INDEX(T_Equipos[Grupo],MATCH(BD40,T_Equipos[NombreEquipo],0)))=1,"-","P."&amp;CU40&amp;" ("&amp;COUNTIFS($CU$6:$CU$53,CU40,$BC$6:$BC$53,INDEX(T_Equipos[Grupo],MATCH(BD40,T_Equipos[NombreEquipo],0)))&amp;")")</f>
        <v>-</v>
      </c>
      <c r="CW40" s="16" t="str">
        <f t="shared" ca="1" si="36"/>
        <v>-</v>
      </c>
      <c r="CX40" s="16">
        <f ca="1">CU40+COUNTIFS($CV$6:$CV$53,CV40,$CW$6:CW$53,"&gt;"&amp;CW40,$BC$6:$BC$53,INDEX(T_Equipos[Grupo],MATCH(BD40,T_Equipos[NombreEquipo],0)))</f>
        <v>4</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4</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4</v>
      </c>
      <c r="DE40" s="16"/>
      <c r="DF40" s="16">
        <f t="shared" ca="1" si="52"/>
        <v>4</v>
      </c>
      <c r="DG40" s="16" t="str">
        <f ca="1">IF(DB40="-","-",COUNTIFS(DF$6:DF$53,"&lt;"&amp;DF40,$BC$6:$BC$53,INDEX(T_Equipos[Grupo],MATCH(BD40,T_Equipos[NombreEquipo],0))))</f>
        <v>-</v>
      </c>
      <c r="DH40" s="16">
        <f ca="1">DA40+COUNTIFS(DB$6:DB$53,DB40,DG$6:DG$53,"&lt;"&amp;DG40,$BC$6:$BC$53,INDEX(T_Equipos[Grupo],MATCH(BD40,T_Equipos[NombreEquipo],0)))</f>
        <v>4</v>
      </c>
      <c r="DI40" s="16"/>
      <c r="DJ40" s="16">
        <f t="shared" ca="1" si="38"/>
        <v>3</v>
      </c>
      <c r="DK40" s="16">
        <f t="shared" ca="1" si="39"/>
        <v>12</v>
      </c>
      <c r="DL40" s="16">
        <f t="shared" ca="1" si="40"/>
        <v>1</v>
      </c>
      <c r="DM40" s="16" t="str">
        <f t="shared" ca="1" si="46"/>
        <v>3.1</v>
      </c>
      <c r="DN40" s="16" cm="1">
        <f t="array" aca="1" ref="DN40" ca="1">OFFSET(Horarios!$P$3,DJ40-1,0,DL40,1)</f>
        <v>3</v>
      </c>
      <c r="DO40" s="16"/>
      <c r="DP40" s="16" t="s">
        <v>122</v>
      </c>
      <c r="DQ40" s="16" t="str">
        <f t="shared" ca="1" si="47"/>
        <v>Norway</v>
      </c>
    </row>
    <row r="41" spans="1:121" ht="15.95" customHeight="1" thickBot="1">
      <c r="A41" s="16"/>
      <c r="B41" s="16"/>
      <c r="C41" s="16"/>
      <c r="D41" s="16" t="str">
        <f t="shared" si="111"/>
        <v>Visitante</v>
      </c>
      <c r="E41" s="16" t="str">
        <f t="shared" ca="1" si="112"/>
        <v>P.2 (2)</v>
      </c>
      <c r="F41" s="16" t="str">
        <f t="shared" ca="1" si="113"/>
        <v>-</v>
      </c>
      <c r="G41" s="16"/>
      <c r="H41" s="16" t="str">
        <f t="shared" ca="1" si="114"/>
        <v>P.2 (2)</v>
      </c>
      <c r="I41" s="16" t="str">
        <f t="shared" ca="1" si="115"/>
        <v>-</v>
      </c>
      <c r="J41" s="16"/>
      <c r="K41" s="16" t="str">
        <f t="shared" ca="1" si="116"/>
        <v>P.2 (2)</v>
      </c>
      <c r="L41" s="16" t="str">
        <f t="shared" ca="1" si="117"/>
        <v>-</v>
      </c>
      <c r="M41" s="16"/>
      <c r="N41" s="16" t="str">
        <f t="shared" ca="1" si="118"/>
        <v>P.2 (2)</v>
      </c>
      <c r="O41" s="16" t="str">
        <f t="shared" ca="1" si="119"/>
        <v>-</v>
      </c>
      <c r="P41" s="16"/>
      <c r="Q41" s="16" t="str">
        <f t="shared" ca="1" si="120"/>
        <v>P.2 (2)</v>
      </c>
      <c r="R41" s="16" t="str">
        <f t="shared" ca="1" si="121"/>
        <v>-</v>
      </c>
      <c r="S41" s="16"/>
      <c r="T41" s="16" t="str">
        <f t="shared" ca="1" si="122"/>
        <v>P.2 (2)</v>
      </c>
      <c r="U41" s="16" t="str">
        <f t="shared" ca="1" si="123"/>
        <v>-</v>
      </c>
      <c r="V41" s="17"/>
      <c r="W41" s="684"/>
      <c r="X41" s="28">
        <f ca="1">Horarios!C41</f>
        <v>46198.916666666664</v>
      </c>
      <c r="Y41" s="29">
        <f ca="1">Horarios!C41</f>
        <v>46198.916666666664</v>
      </c>
      <c r="Z41" s="30" t="str">
        <f>$Z$8</f>
        <v>R3</v>
      </c>
      <c r="AA41" s="31" t="str">
        <f ca="1">A40</f>
        <v>Ecuador</v>
      </c>
      <c r="AB41" s="52" t="e" cm="1" vm="20">
        <f t="array" aca="1" ref="AB41" ca="1">Ver_flag_local</f>
        <v>#VALUE!</v>
      </c>
      <c r="AC41" s="53">
        <v>2</v>
      </c>
      <c r="AD41" s="54">
        <v>3</v>
      </c>
      <c r="AE41" s="596" t="e" cm="1" vm="17">
        <f t="array" aca="1" ref="AE41" ca="1">Ver_flag_visit</f>
        <v>#VALUE!</v>
      </c>
      <c r="AF41" s="33" t="str">
        <f ca="1">A37</f>
        <v>Germany</v>
      </c>
      <c r="AG41" s="323">
        <f t="shared" si="124"/>
        <v>1</v>
      </c>
      <c r="AH41" s="195">
        <v>56</v>
      </c>
      <c r="AI41" s="181" t="str">
        <f t="shared" si="128"/>
        <v>4E</v>
      </c>
      <c r="AJ41" s="44">
        <v>4</v>
      </c>
      <c r="AK41" s="604" t="e" cm="1" vm="18">
        <f t="array" aca="1" ref="AK41" ca="1">Ver_flag_visit</f>
        <v>#VALUE!</v>
      </c>
      <c r="AL41" s="45" t="str">
        <f ca="1">IFERROR(INDEX($BD$6:$BD$53,MATCH(AI41,$BN$6:$BN$53,0)),"")</f>
        <v>Curaçao</v>
      </c>
      <c r="AM41" s="46">
        <f t="shared" ca="1" si="127"/>
        <v>0</v>
      </c>
      <c r="AN41" s="47">
        <f t="shared" ca="1" si="127"/>
        <v>3</v>
      </c>
      <c r="AO41" s="47">
        <f t="shared" ca="1" si="127"/>
        <v>0</v>
      </c>
      <c r="AP41" s="47">
        <f t="shared" ca="1" si="127"/>
        <v>0</v>
      </c>
      <c r="AQ41" s="47">
        <f t="shared" ca="1" si="127"/>
        <v>3</v>
      </c>
      <c r="AR41" s="47">
        <f t="shared" ca="1" si="127"/>
        <v>1</v>
      </c>
      <c r="AS41" s="47">
        <f t="shared" ca="1" si="127"/>
        <v>10</v>
      </c>
      <c r="AT41" s="48">
        <f t="shared" ca="1" si="127"/>
        <v>-9</v>
      </c>
      <c r="AU41" s="330">
        <f ca="1">INDEX($DL$6:$DL$53,MATCH(AI41,$DP$6:$DP$53,0))</f>
        <v>1</v>
      </c>
      <c r="AV41" s="182" t="str">
        <f ca="1">INDEX($BD$6:$BD$53,MATCH(AI41,$BM$6:$BM$53,0))</f>
        <v>Curaçao</v>
      </c>
      <c r="AW41" s="210"/>
      <c r="AX41" s="171"/>
      <c r="AY41" s="205" t="str">
        <f ca="1">+A40</f>
        <v>Ecuador</v>
      </c>
      <c r="AZ41" s="206"/>
      <c r="BA41" s="176"/>
      <c r="BC41" s="16" t="str">
        <f ca="1">+INDEX(T_Equipos[Grupo],MATCH(WORLDCUP!BD41,T_Equipos[NombreEquipo],0))</f>
        <v>I</v>
      </c>
      <c r="BD41" s="16" t="str">
        <f ca="1">+Equipos!B37</f>
        <v>Norway</v>
      </c>
      <c r="BE41" s="16">
        <f t="shared" ca="1" si="16"/>
        <v>3</v>
      </c>
      <c r="BF41" s="16">
        <f t="shared" ca="1" si="41"/>
        <v>3</v>
      </c>
      <c r="BG41" s="16">
        <f t="shared" ca="1" si="17"/>
        <v>1</v>
      </c>
      <c r="BH41" s="16">
        <f t="shared" ca="1" si="18"/>
        <v>0</v>
      </c>
      <c r="BI41" s="16">
        <f t="shared" ca="1" si="19"/>
        <v>2</v>
      </c>
      <c r="BJ41" s="16">
        <f t="shared" ca="1" si="20"/>
        <v>4</v>
      </c>
      <c r="BK41" s="16">
        <f t="shared" ca="1" si="21"/>
        <v>5</v>
      </c>
      <c r="BL41" s="16">
        <f t="shared" ca="1" si="42"/>
        <v>-1</v>
      </c>
      <c r="BM41" s="16" t="str">
        <f t="shared" ca="1" si="22"/>
        <v>3I</v>
      </c>
      <c r="BN41" s="16" t="str">
        <f t="shared" ca="1" si="23"/>
        <v>3I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3</v>
      </c>
      <c r="BS41" s="16">
        <f ca="1">BP41+COUNTIFS($BQ$6:$BQ$53,BQ41,$BR$6:BR$53,"&gt;"&amp;BR41,$BC$6:$BC$53,INDEX(T_Equipos[Grupo],MATCH(BD41,T_Equipos[NombreEquipo],0)))</f>
        <v>3</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3</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3</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3</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3</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3</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3</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3</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3</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3</v>
      </c>
      <c r="DE41" s="16"/>
      <c r="DF41" s="16">
        <f t="shared" ca="1" si="52"/>
        <v>3</v>
      </c>
      <c r="DG41" s="16" t="str">
        <f ca="1">IF(DB41="-","-",COUNTIFS(DF$6:DF$53,"&lt;"&amp;DF41,$BC$6:$BC$53,INDEX(T_Equipos[Grupo],MATCH(BD41,T_Equipos[NombreEquipo],0))))</f>
        <v>-</v>
      </c>
      <c r="DH41" s="16">
        <f ca="1">DA41+COUNTIFS(DB$6:DB$53,DB41,DG$6:DG$53,"&lt;"&amp;DG41,$BC$6:$BC$53,INDEX(T_Equipos[Grupo],MATCH(BD41,T_Equipos[NombreEquipo],0)))</f>
        <v>3</v>
      </c>
      <c r="DI41" s="16"/>
      <c r="DJ41" s="16">
        <f t="shared" ca="1" si="38"/>
        <v>4</v>
      </c>
      <c r="DK41" s="16">
        <f t="shared" ca="1" si="39"/>
        <v>12</v>
      </c>
      <c r="DL41" s="16">
        <f t="shared" ca="1" si="40"/>
        <v>1</v>
      </c>
      <c r="DM41" s="16" t="str">
        <f t="shared" ca="1" si="46"/>
        <v>4.1</v>
      </c>
      <c r="DN41" s="16" cm="1">
        <f t="array" aca="1" ref="DN41" ca="1">OFFSET(Horarios!$P$3,DJ41-1,0,DL41,1)</f>
        <v>4</v>
      </c>
      <c r="DO41" s="16"/>
      <c r="DP41" s="16" t="s">
        <v>123</v>
      </c>
      <c r="DQ41" s="16" t="str">
        <f t="shared" ca="1" si="47"/>
        <v>Iraq</v>
      </c>
    </row>
    <row r="42" spans="1:121" ht="15.95"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8</v>
      </c>
      <c r="BK42" s="16">
        <f t="shared" ca="1" si="21"/>
        <v>1</v>
      </c>
      <c r="BL42" s="16">
        <f t="shared" ca="1" si="42"/>
        <v>7</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124</v>
      </c>
      <c r="DQ42" s="16" t="str">
        <f t="shared" ca="1" si="47"/>
        <v>Argentina</v>
      </c>
    </row>
    <row r="43" spans="1:121" ht="15.95"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3</v>
      </c>
      <c r="BF43" s="16">
        <f t="shared" ca="1" si="41"/>
        <v>3</v>
      </c>
      <c r="BG43" s="16">
        <f t="shared" ca="1" si="17"/>
        <v>1</v>
      </c>
      <c r="BH43" s="16">
        <f t="shared" ca="1" si="18"/>
        <v>0</v>
      </c>
      <c r="BI43" s="16">
        <f t="shared" ca="1" si="19"/>
        <v>2</v>
      </c>
      <c r="BJ43" s="16">
        <f t="shared" ca="1" si="20"/>
        <v>3</v>
      </c>
      <c r="BK43" s="16">
        <f t="shared" ca="1" si="21"/>
        <v>6</v>
      </c>
      <c r="BL43" s="16">
        <f t="shared" ca="1" si="42"/>
        <v>-3</v>
      </c>
      <c r="BM43" s="16" t="str">
        <f t="shared" ca="1" si="22"/>
        <v>3J</v>
      </c>
      <c r="BN43" s="16" t="str">
        <f t="shared" ca="1" si="23"/>
        <v>3J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3</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v>
      </c>
      <c r="BU43" s="16" t="str">
        <f t="shared" ca="1" si="24"/>
        <v>-</v>
      </c>
      <c r="BV43" s="16" t="str">
        <f t="shared" ca="1" si="25"/>
        <v>-</v>
      </c>
      <c r="BW43" s="16" t="str">
        <f t="shared" ca="1" si="26"/>
        <v>-</v>
      </c>
      <c r="BX43" s="16" t="str">
        <f t="shared" ca="1" si="48"/>
        <v>-</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v>
      </c>
      <c r="CA43" s="16" t="str">
        <f t="shared" ca="1" si="27"/>
        <v>-</v>
      </c>
      <c r="CB43" s="16" t="str">
        <f t="shared" ca="1" si="28"/>
        <v>-</v>
      </c>
      <c r="CC43" s="16" t="str">
        <f t="shared" ca="1" si="49"/>
        <v>-</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v>
      </c>
      <c r="CF43" s="16" t="str">
        <f t="shared" ca="1" si="29"/>
        <v>-</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v>
      </c>
      <c r="CI43" s="16" t="str">
        <f t="shared" ca="1" si="30"/>
        <v>-</v>
      </c>
      <c r="CJ43" s="16" t="str">
        <f t="shared" ca="1" si="31"/>
        <v>-</v>
      </c>
      <c r="CK43" s="16" t="str">
        <f t="shared" ca="1" si="32"/>
        <v>-</v>
      </c>
      <c r="CL43" s="16" t="str">
        <f t="shared" ca="1" si="50"/>
        <v>-</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v>
      </c>
      <c r="CO43" s="16" t="str">
        <f t="shared" ca="1" si="33"/>
        <v>-</v>
      </c>
      <c r="CP43" s="16" t="str">
        <f t="shared" ca="1" si="34"/>
        <v>-</v>
      </c>
      <c r="CQ43" s="16" t="str">
        <f t="shared" ca="1" si="51"/>
        <v>-</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v>
      </c>
      <c r="CT43" s="16" t="str">
        <f t="shared" ca="1" si="35"/>
        <v>-</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v>
      </c>
      <c r="CW43" s="16" t="str">
        <f t="shared" ca="1" si="36"/>
        <v>-</v>
      </c>
      <c r="CX43" s="16">
        <f ca="1">CU43+COUNTIFS($CV$6:$CV$53,CV43,$CW$6:CW$53,"&gt;"&amp;CW43,$BC$6:$BC$53,INDEX(T_Equipos[Grupo],MATCH(BD43,T_Equipos[NombreEquipo],0)))</f>
        <v>3</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3</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3</v>
      </c>
      <c r="DE43" s="16"/>
      <c r="DF43" s="16">
        <f t="shared" ca="1" si="52"/>
        <v>3</v>
      </c>
      <c r="DG43" s="16" t="str">
        <f ca="1">IF(DB43="-","-",COUNTIFS(DF$6:DF$53,"&lt;"&amp;DF43,$BC$6:$BC$53,INDEX(T_Equipos[Grupo],MATCH(BD43,T_Equipos[NombreEquipo],0))))</f>
        <v>-</v>
      </c>
      <c r="DH43" s="16">
        <f ca="1">DA43+COUNTIFS(DB$6:DB$53,DB43,DG$6:DG$53,"&lt;"&amp;DG43,$BC$6:$BC$53,INDEX(T_Equipos[Grupo],MATCH(BD43,T_Equipos[NombreEquipo],0)))</f>
        <v>3</v>
      </c>
      <c r="DI43" s="16"/>
      <c r="DJ43" s="16">
        <f t="shared" ca="1" si="38"/>
        <v>2</v>
      </c>
      <c r="DK43" s="16">
        <f t="shared" ca="1" si="39"/>
        <v>12</v>
      </c>
      <c r="DL43" s="16">
        <f t="shared" ca="1" si="40"/>
        <v>1</v>
      </c>
      <c r="DM43" s="16" t="str">
        <f t="shared" ca="1" si="46"/>
        <v>2.1</v>
      </c>
      <c r="DN43" s="16" cm="1">
        <f t="array" aca="1" ref="DN43" ca="1">OFFSET(Horarios!$P$3,DJ43-1,0,DL43,1)</f>
        <v>2</v>
      </c>
      <c r="DO43" s="16"/>
      <c r="DP43" s="16" t="s">
        <v>125</v>
      </c>
      <c r="DQ43" s="16" t="str">
        <f t="shared" ca="1" si="47"/>
        <v>Austria</v>
      </c>
    </row>
    <row r="44" spans="1:121" ht="15.95" customHeight="1" thickBot="1">
      <c r="A44" s="16" t="s">
        <v>29</v>
      </c>
      <c r="B44" s="16" t="s">
        <v>126</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P.3 (2)</v>
      </c>
      <c r="G44" s="16"/>
      <c r="H44" s="16" t="str">
        <f t="shared" ref="H44:H49" ca="1" si="134">IF(D44="Pendiente","-",INDEX($BZ$6:$BZ$53,MATCH($AA44,$BD$6:$BD$53,0)))</f>
        <v>-</v>
      </c>
      <c r="I44" s="16" t="str">
        <f t="shared" ref="I44:I49" ca="1" si="135">IF(D44="Pendiente","-",INDEX($BZ$6:$BZ$53,MATCH($AF44,$BD$6:$BD$53,0)))</f>
        <v>P.3 (2)</v>
      </c>
      <c r="J44" s="16"/>
      <c r="K44" s="16" t="str">
        <f t="shared" ref="K44:K49" ca="1" si="136">IF(D44="Pendiente","-",INDEX($CE$6:$CE$53,MATCH($AA44,$BD$6:$BD$53,0)))</f>
        <v>-</v>
      </c>
      <c r="L44" s="16" t="str">
        <f t="shared" ref="L44:L49" ca="1" si="137">IF(D44="Pendiente","-",INDEX($CE$6:$CE$53,MATCH($AF44,$BD$6:$BD$53,0)))</f>
        <v>P.3 (2)</v>
      </c>
      <c r="M44" s="16"/>
      <c r="N44" s="16" t="str">
        <f t="shared" ref="N44:N49" ca="1" si="138">IF(D44="Pendiente","-",INDEX($CH$6:$CH$53,MATCH($AA44,$BD$6:$BD$53,0)))</f>
        <v>-</v>
      </c>
      <c r="O44" s="16" t="str">
        <f t="shared" ref="O44:O49" ca="1" si="139">IF(D44="Pendiente","-",INDEX($CH$6:$CH$53,MATCH($AF44,$BD$6:$BD$53,0)))</f>
        <v>P.3 (2)</v>
      </c>
      <c r="P44" s="16"/>
      <c r="Q44" s="16" t="str">
        <f t="shared" ref="Q44:Q49" ca="1" si="140">IF(D44="Pendiente","-",INDEX($CN$6:$CN$53,MATCH($AA44,$BD$6:$BD$53,0)))</f>
        <v>-</v>
      </c>
      <c r="R44" s="16" t="str">
        <f t="shared" ref="R44:R49" ca="1" si="141">IF(D44="Pendiente","-",INDEX($CN$6:$CN$53,MATCH($AF44,$BD$6:$BD$53,0)))</f>
        <v>P.3 (2)</v>
      </c>
      <c r="S44" s="16"/>
      <c r="T44" s="16" t="str">
        <f t="shared" ref="T44:T49" ca="1" si="142">IF(D44="Pendiente","-",INDEX($CS$6:$CS$53,MATCH($AA44,$BD$6:$BD$53,0)))</f>
        <v>-</v>
      </c>
      <c r="U44" s="16" t="str">
        <f t="shared" ref="U44:U49" ca="1" si="143">IF(D44="Pendiente","-",INDEX($CS$6:$CS$53,MATCH($AF44,$BD$6:$BD$53,0)))</f>
        <v>P.3 (2)</v>
      </c>
      <c r="V44" s="17"/>
      <c r="W44" s="646" t="s">
        <v>126</v>
      </c>
      <c r="X44" s="24">
        <f ca="1">Horarios!C44</f>
        <v>46187.916666666664</v>
      </c>
      <c r="Y44" s="25">
        <f ca="1">Horarios!C44</f>
        <v>46187.916666666664</v>
      </c>
      <c r="Z44" s="26" t="str">
        <f>$Z$4</f>
        <v>R1</v>
      </c>
      <c r="AA44" s="27" t="str">
        <f ca="1">A45</f>
        <v>Netherlands</v>
      </c>
      <c r="AB44" s="49" t="e" cm="1" vm="21">
        <f t="array" aca="1" ref="AB44" ca="1">Ver_flag_local</f>
        <v>#VALUE!</v>
      </c>
      <c r="AC44" s="50">
        <v>2</v>
      </c>
      <c r="AD44" s="51">
        <v>0</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5</v>
      </c>
      <c r="BK44" s="16">
        <f t="shared" ca="1" si="21"/>
        <v>4</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127</v>
      </c>
      <c r="DQ44" s="16" t="str">
        <f t="shared" ca="1" si="47"/>
        <v>Algeria</v>
      </c>
    </row>
    <row r="45" spans="1:121" ht="15.95" customHeight="1">
      <c r="A45" s="16" t="str">
        <f ca="1">+Equipos!B22</f>
        <v>Netherlands</v>
      </c>
      <c r="B45" s="16"/>
      <c r="C45" s="16"/>
      <c r="D45" s="16" t="str">
        <f t="shared" si="131"/>
        <v>Local</v>
      </c>
      <c r="E45" s="16" t="str">
        <f t="shared" ca="1" si="132"/>
        <v>-</v>
      </c>
      <c r="F45" s="16" t="str">
        <f t="shared" ca="1" si="133"/>
        <v>P.3 (2)</v>
      </c>
      <c r="G45" s="16"/>
      <c r="H45" s="16" t="str">
        <f t="shared" ca="1" si="134"/>
        <v>-</v>
      </c>
      <c r="I45" s="16" t="str">
        <f t="shared" ca="1" si="135"/>
        <v>P.3 (2)</v>
      </c>
      <c r="J45" s="16"/>
      <c r="K45" s="16" t="str">
        <f t="shared" ca="1" si="136"/>
        <v>-</v>
      </c>
      <c r="L45" s="16" t="str">
        <f t="shared" ca="1" si="137"/>
        <v>P.3 (2)</v>
      </c>
      <c r="M45" s="16"/>
      <c r="N45" s="16" t="str">
        <f t="shared" ca="1" si="138"/>
        <v>-</v>
      </c>
      <c r="O45" s="16" t="str">
        <f t="shared" ca="1" si="139"/>
        <v>P.3 (2)</v>
      </c>
      <c r="P45" s="16"/>
      <c r="Q45" s="16" t="str">
        <f t="shared" ca="1" si="140"/>
        <v>-</v>
      </c>
      <c r="R45" s="16" t="str">
        <f t="shared" ca="1" si="141"/>
        <v>P.3 (2)</v>
      </c>
      <c r="S45" s="16"/>
      <c r="T45" s="16" t="str">
        <f t="shared" ca="1" si="142"/>
        <v>-</v>
      </c>
      <c r="U45" s="16" t="str">
        <f t="shared" ca="1" si="143"/>
        <v>P.3 (2)</v>
      </c>
      <c r="V45" s="17"/>
      <c r="W45" s="646"/>
      <c r="X45" s="24">
        <f ca="1">Horarios!C45</f>
        <v>46188.166666666664</v>
      </c>
      <c r="Y45" s="25">
        <f ca="1">Horarios!C45</f>
        <v>46188.166666666664</v>
      </c>
      <c r="Z45" s="26" t="str">
        <f>$Z$4</f>
        <v>R1</v>
      </c>
      <c r="AA45" s="27" t="str">
        <f ca="1">A47</f>
        <v>Sweden</v>
      </c>
      <c r="AB45" s="49" t="e" cm="1" vm="23">
        <f t="array" aca="1" ref="AB45" ca="1">Ver_flag_local</f>
        <v>#VALUE!</v>
      </c>
      <c r="AC45" s="50">
        <v>2</v>
      </c>
      <c r="AD45" s="51">
        <v>1</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0</v>
      </c>
      <c r="BF45" s="16">
        <f t="shared" ca="1" si="41"/>
        <v>3</v>
      </c>
      <c r="BG45" s="16">
        <f t="shared" ca="1" si="17"/>
        <v>0</v>
      </c>
      <c r="BH45" s="16">
        <f t="shared" ca="1" si="18"/>
        <v>0</v>
      </c>
      <c r="BI45" s="16">
        <f t="shared" ca="1" si="19"/>
        <v>3</v>
      </c>
      <c r="BJ45" s="16">
        <f t="shared" ca="1" si="20"/>
        <v>2</v>
      </c>
      <c r="BK45" s="16">
        <f t="shared" ca="1" si="21"/>
        <v>7</v>
      </c>
      <c r="BL45" s="16">
        <f t="shared" ca="1" si="42"/>
        <v>-5</v>
      </c>
      <c r="BM45" s="16" t="str">
        <f t="shared" ca="1" si="22"/>
        <v>4J</v>
      </c>
      <c r="BN45" s="16" t="str">
        <f t="shared" ca="1" si="23"/>
        <v>4J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0</v>
      </c>
      <c r="BS45" s="16">
        <f ca="1">BP45+COUNTIFS($BQ$6:$BQ$53,BQ45,$BR$6:BR$53,"&gt;"&amp;BR45,$BC$6:$BC$53,INDEX(T_Equipos[Grupo],MATCH(BD45,T_Equipos[NombreEquipo],0)))</f>
        <v>4</v>
      </c>
      <c r="BT45" s="16" t="str">
        <f ca="1">IF(COUNTIFS($BS$6:$BS$53,BS45,$BC$6:$BC$53,INDEX(T_Equipos[Grupo],MATCH(BD45,T_Equipos[NombreEquipo],0)))=1,"-","P."&amp;BS45&amp;" ("&amp;COUNTIFS($BS$6:$BS$53,BS45,$BC$6:$BC$53,INDEX(T_Equipos[Grupo],MATCH(BD45,T_Equipos[NombreEquipo],0)))&amp;")")</f>
        <v>-</v>
      </c>
      <c r="BU45" s="16" t="str">
        <f t="shared" ca="1" si="24"/>
        <v>-</v>
      </c>
      <c r="BV45" s="16" t="str">
        <f t="shared" ca="1" si="25"/>
        <v>-</v>
      </c>
      <c r="BW45" s="16" t="str">
        <f t="shared" ca="1" si="26"/>
        <v>-</v>
      </c>
      <c r="BX45" s="16" t="str">
        <f t="shared" ca="1" si="48"/>
        <v>-</v>
      </c>
      <c r="BY45" s="16">
        <f ca="1">BS45+COUNTIFS($BT$6:$BT$53,BT45,$BX$6:BX$53,"&gt;"&amp;BX45,$BC$6:$BC$53,INDEX(T_Equipos[Grupo],MATCH(BD45,T_Equipos[NombreEquipo],0)))</f>
        <v>4</v>
      </c>
      <c r="BZ45" s="16" t="str">
        <f ca="1">IF(COUNTIFS($BY$6:$BY$53,BY45,$BC$6:$BC$53,INDEX(T_Equipos[Grupo],MATCH(BD45,T_Equipos[NombreEquipo],0)))=1,"-","P."&amp;BY45&amp;" ("&amp;COUNTIFS($BY$6:$BY$53,BY45,$BC$6:$BC$53,INDEX(T_Equipos[Grupo],MATCH(BD45,T_Equipos[NombreEquipo],0)))&amp;")")</f>
        <v>-</v>
      </c>
      <c r="CA45" s="16" t="str">
        <f t="shared" ca="1" si="27"/>
        <v>-</v>
      </c>
      <c r="CB45" s="16" t="str">
        <f t="shared" ca="1" si="28"/>
        <v>-</v>
      </c>
      <c r="CC45" s="16" t="str">
        <f t="shared" ca="1" si="49"/>
        <v>-</v>
      </c>
      <c r="CD45" s="16">
        <f ca="1">BY45+COUNTIFS($BZ$6:$BZ$53,BZ45,$CC$6:CC$53,"&gt;"&amp;CC45,$BC$6:$BC$53,INDEX(T_Equipos[Grupo],MATCH(BD45,T_Equipos[NombreEquipo],0)))</f>
        <v>4</v>
      </c>
      <c r="CE45" s="16" t="str">
        <f ca="1">IF(COUNTIFS($CD$6:$CD$53,CD45,$BC$6:$BC$53,INDEX(T_Equipos[Grupo],MATCH(BD45,T_Equipos[NombreEquipo],0)))=1,"-","P."&amp;CD45&amp;" ("&amp;COUNTIFS($CD$6:$CD$53,CD45,$BC$6:$BC$53,INDEX(T_Equipos[Grupo],MATCH(BD45,T_Equipos[NombreEquipo],0)))&amp;")")</f>
        <v>-</v>
      </c>
      <c r="CF45" s="16" t="str">
        <f t="shared" ca="1" si="29"/>
        <v>-</v>
      </c>
      <c r="CG45" s="16">
        <f ca="1">CD45+COUNTIFS($CE$6:$CE$53,CE45,$CF$6:CF$53,"&gt;"&amp;CF45,$BC$6:$BC$53,INDEX(T_Equipos[Grupo],MATCH(BD45,T_Equipos[NombreEquipo],0)))</f>
        <v>4</v>
      </c>
      <c r="CH45" s="16" t="str">
        <f ca="1">IF(COUNTIFS($CG$6:$CG$53,CG45,$BC$6:$BC$53,INDEX(T_Equipos[Grupo],MATCH(BD45,T_Equipos[NombreEquipo],0)))=1,"-","P."&amp;CG45&amp;" ("&amp;COUNTIFS($CG$6:$CG$53,CG45,$BC$6:$BC$53,INDEX(T_Equipos[Grupo],MATCH(BD45,T_Equipos[NombreEquipo],0)))&amp;")")</f>
        <v>-</v>
      </c>
      <c r="CI45" s="16" t="str">
        <f t="shared" ca="1" si="30"/>
        <v>-</v>
      </c>
      <c r="CJ45" s="16" t="str">
        <f t="shared" ca="1" si="31"/>
        <v>-</v>
      </c>
      <c r="CK45" s="16" t="str">
        <f t="shared" ca="1" si="32"/>
        <v>-</v>
      </c>
      <c r="CL45" s="16" t="str">
        <f t="shared" ca="1" si="50"/>
        <v>-</v>
      </c>
      <c r="CM45" s="16">
        <f ca="1">CG45+COUNTIFS($CH$6:$CH$53,CH45,$CL$6:CL$53,"&gt;"&amp;CL45,$BC$6:$BC$53,INDEX(T_Equipos[Grupo],MATCH(BD45,T_Equipos[NombreEquipo],0)))</f>
        <v>4</v>
      </c>
      <c r="CN45" s="16" t="str">
        <f ca="1">IF(COUNTIFS($CM$6:$CM$53,CM45,$BC$6:$BC$53,INDEX(T_Equipos[Grupo],MATCH(BD45,T_Equipos[NombreEquipo],0)))=1,"-","P."&amp;CM45&amp;" ("&amp;COUNTIFS($CM$6:$CM$53,CM45,$BC$6:$BC$53,INDEX(T_Equipos[Grupo],MATCH(BD45,T_Equipos[NombreEquipo],0)))&amp;")")</f>
        <v>-</v>
      </c>
      <c r="CO45" s="16" t="str">
        <f t="shared" ca="1" si="33"/>
        <v>-</v>
      </c>
      <c r="CP45" s="16" t="str">
        <f t="shared" ca="1" si="34"/>
        <v>-</v>
      </c>
      <c r="CQ45" s="16" t="str">
        <f t="shared" ca="1" si="51"/>
        <v>-</v>
      </c>
      <c r="CR45" s="16">
        <f ca="1">CM45+COUNTIFS($CN$6:$CN$53,CN45,$CQ$6:CQ$53,"&gt;"&amp;CQ45,$BC$6:$BC$53,INDEX(T_Equipos[Grupo],MATCH(BD45,T_Equipos[NombreEquipo],0)))</f>
        <v>4</v>
      </c>
      <c r="CS45" s="16" t="str">
        <f ca="1">IF(COUNTIFS($CR$6:$CR$53,CR45,$BC$6:$BC$53,INDEX(T_Equipos[Grupo],MATCH(BD45,T_Equipos[NombreEquipo],0)))=1,"-","P."&amp;CR45&amp;" ("&amp;COUNTIFS($CR$6:$CR$53,CR45,$BC$6:$BC$53,INDEX(T_Equipos[Grupo],MATCH(BD45,T_Equipos[NombreEquipo],0)))&amp;")")</f>
        <v>-</v>
      </c>
      <c r="CT45" s="16" t="str">
        <f t="shared" ca="1" si="35"/>
        <v>-</v>
      </c>
      <c r="CU45" s="16">
        <f ca="1">CR45+COUNTIFS($CS$6:$CS$53,CS45,$CT$6:CT$53,"&gt;"&amp;CT45,$BC$6:$BC$53,INDEX(T_Equipos[Grupo],MATCH(BD45,T_Equipos[NombreEquipo],0)))</f>
        <v>4</v>
      </c>
      <c r="CV45" s="16" t="str">
        <f ca="1">IF(COUNTIFS($CU$6:$CU$53,CU45,$BC$6:$BC$53,INDEX(T_Equipos[Grupo],MATCH(BD45,T_Equipos[NombreEquipo],0)))=1,"-","P."&amp;CU45&amp;" ("&amp;COUNTIFS($CU$6:$CU$53,CU45,$BC$6:$BC$53,INDEX(T_Equipos[Grupo],MATCH(BD45,T_Equipos[NombreEquipo],0)))&amp;")")</f>
        <v>-</v>
      </c>
      <c r="CW45" s="16" t="str">
        <f t="shared" ca="1" si="36"/>
        <v>-</v>
      </c>
      <c r="CX45" s="16">
        <f ca="1">CU45+COUNTIFS($CV$6:$CV$53,CV45,$CW$6:CW$53,"&gt;"&amp;CW45,$BC$6:$BC$53,INDEX(T_Equipos[Grupo],MATCH(BD45,T_Equipos[NombreEquipo],0)))</f>
        <v>4</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4</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4</v>
      </c>
      <c r="DE45" s="16"/>
      <c r="DF45" s="16">
        <f t="shared" ca="1" si="52"/>
        <v>4</v>
      </c>
      <c r="DG45" s="16" t="str">
        <f ca="1">IF(DB45="-","-",COUNTIFS(DF$6:DF$53,"&lt;"&amp;DF45,$BC$6:$BC$53,INDEX(T_Equipos[Grupo],MATCH(BD45,T_Equipos[NombreEquipo],0))))</f>
        <v>-</v>
      </c>
      <c r="DH45" s="16">
        <f ca="1">DA45+COUNTIFS(DB$6:DB$53,DB45,DG$6:DG$53,"&lt;"&amp;DG45,$BC$6:$BC$53,INDEX(T_Equipos[Grupo],MATCH(BD45,T_Equipos[NombreEquipo],0)))</f>
        <v>4</v>
      </c>
      <c r="DI45" s="16"/>
      <c r="DJ45" s="16">
        <f t="shared" ca="1" si="38"/>
        <v>4</v>
      </c>
      <c r="DK45" s="16">
        <f t="shared" ca="1" si="39"/>
        <v>12</v>
      </c>
      <c r="DL45" s="16">
        <f t="shared" ca="1" si="40"/>
        <v>1</v>
      </c>
      <c r="DM45" s="16" t="str">
        <f t="shared" ca="1" si="46"/>
        <v>4.1</v>
      </c>
      <c r="DN45" s="16" cm="1">
        <f t="array" aca="1" ref="DN45" ca="1">OFFSET(Horarios!$P$3,DJ45-1,0,DL45,1)</f>
        <v>4</v>
      </c>
      <c r="DO45" s="16"/>
      <c r="DP45" s="16" t="s">
        <v>128</v>
      </c>
      <c r="DQ45" s="16" t="str">
        <f t="shared" ca="1" si="47"/>
        <v>Jordan</v>
      </c>
    </row>
    <row r="46" spans="1:121" ht="15.95" customHeight="1">
      <c r="A46" s="16" t="str">
        <f ca="1">+Equipos!B23</f>
        <v>Japan</v>
      </c>
      <c r="B46" s="16"/>
      <c r="C46" s="16"/>
      <c r="D46" s="16" t="str">
        <f t="shared" si="131"/>
        <v>Visitante</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46"/>
      <c r="X46" s="24">
        <f ca="1">Horarios!C46</f>
        <v>46193.791666666664</v>
      </c>
      <c r="Y46" s="25">
        <f ca="1">Horarios!C46</f>
        <v>46193.791666666664</v>
      </c>
      <c r="Z46" s="26" t="str">
        <f>$Z$6</f>
        <v>R2</v>
      </c>
      <c r="AA46" s="27" t="str">
        <f ca="1">A45</f>
        <v>Netherlands</v>
      </c>
      <c r="AB46" s="49" t="e" cm="1" vm="21">
        <f t="array" aca="1" ref="AB46" ca="1">Ver_flag_local</f>
        <v>#VALUE!</v>
      </c>
      <c r="AC46" s="50">
        <v>1</v>
      </c>
      <c r="AD46" s="51">
        <v>2</v>
      </c>
      <c r="AE46" s="595" t="e" cm="1" vm="23">
        <f t="array" aca="1" ref="AE46" ca="1">Ver_flag_visit</f>
        <v>#VALUE!</v>
      </c>
      <c r="AF46" s="32" t="str">
        <f ca="1">A47</f>
        <v>Sweden</v>
      </c>
      <c r="AG46" s="323">
        <f t="shared" si="144"/>
        <v>1</v>
      </c>
      <c r="AH46" s="195">
        <v>35</v>
      </c>
      <c r="AI46" s="181" t="str">
        <f>AJ46&amp;$B$44</f>
        <v>1F</v>
      </c>
      <c r="AJ46" s="40">
        <v>1</v>
      </c>
      <c r="AK46" s="601" t="e" cm="1" vm="23">
        <f t="array" aca="1" ref="AK46" ca="1">Ver_flag_visit</f>
        <v>#VALUE!</v>
      </c>
      <c r="AL46" s="34" t="str">
        <f ca="1">IFERROR(INDEX($BD$6:$BD$53,MATCH(AI46,$BN$6:$BN$53,0)),"")</f>
        <v>Sweden</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7</v>
      </c>
      <c r="AS46" s="36">
        <f t="shared" ca="1" si="147"/>
        <v>3</v>
      </c>
      <c r="AT46" s="41">
        <f t="shared" ca="1" si="147"/>
        <v>4</v>
      </c>
      <c r="AU46" s="330">
        <f ca="1">INDEX($DL$6:$DL$53,MATCH(AI46,$DP$6:$DP$53,0))</f>
        <v>1</v>
      </c>
      <c r="AV46" s="182" t="str">
        <f ca="1">INDEX($BD$6:$BD$53,MATCH(AI46,$BM$6:$BM$53,0))</f>
        <v>Sweden</v>
      </c>
      <c r="AW46" s="210"/>
      <c r="AX46" s="171"/>
      <c r="AY46" s="201" t="str">
        <f ca="1">+A45</f>
        <v>Netherlands</v>
      </c>
      <c r="AZ46" s="202"/>
      <c r="BA46" s="176"/>
      <c r="BC46" s="16" t="str">
        <f ca="1">+INDEX(T_Equipos[Grupo],MATCH(WORLDCUP!BD46,T_Equipos[NombreEquipo],0))</f>
        <v>K</v>
      </c>
      <c r="BD46" s="16" t="str">
        <f ca="1">+Equipos!B42</f>
        <v>Portugal</v>
      </c>
      <c r="BE46" s="16">
        <f t="shared" ca="1" si="16"/>
        <v>7</v>
      </c>
      <c r="BF46" s="16">
        <f t="shared" ca="1" si="41"/>
        <v>3</v>
      </c>
      <c r="BG46" s="16">
        <f t="shared" ca="1" si="17"/>
        <v>2</v>
      </c>
      <c r="BH46" s="16">
        <f t="shared" ca="1" si="18"/>
        <v>1</v>
      </c>
      <c r="BI46" s="16">
        <f t="shared" ca="1" si="19"/>
        <v>0</v>
      </c>
      <c r="BJ46" s="16">
        <f t="shared" ca="1" si="20"/>
        <v>8</v>
      </c>
      <c r="BK46" s="16">
        <f t="shared" ca="1" si="21"/>
        <v>3</v>
      </c>
      <c r="BL46" s="16">
        <f t="shared" ca="1" si="42"/>
        <v>5</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7</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P.1 (2)</v>
      </c>
      <c r="BU46" s="16">
        <f t="shared" ca="1" si="24"/>
        <v>0</v>
      </c>
      <c r="BV46" s="16">
        <f t="shared" ca="1" si="25"/>
        <v>1</v>
      </c>
      <c r="BW46" s="16">
        <f t="shared" ca="1" si="26"/>
        <v>0</v>
      </c>
      <c r="BX46" s="16">
        <f t="shared" ca="1" si="48"/>
        <v>1</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P.1 (2)</v>
      </c>
      <c r="CA46" s="16">
        <f t="shared" ca="1" si="27"/>
        <v>2</v>
      </c>
      <c r="CB46" s="16">
        <f t="shared" ca="1" si="28"/>
        <v>2</v>
      </c>
      <c r="CC46" s="16">
        <f t="shared" ca="1" si="49"/>
        <v>0</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P.1 (2)</v>
      </c>
      <c r="CF46" s="16">
        <f t="shared" ca="1" si="29"/>
        <v>2</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P.1 (2)</v>
      </c>
      <c r="CI46" s="16">
        <f t="shared" ca="1" si="30"/>
        <v>0</v>
      </c>
      <c r="CJ46" s="16">
        <f t="shared" ca="1" si="31"/>
        <v>1</v>
      </c>
      <c r="CK46" s="16">
        <f t="shared" ca="1" si="32"/>
        <v>0</v>
      </c>
      <c r="CL46" s="16">
        <f t="shared" ca="1" si="50"/>
        <v>1</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P.1 (2)</v>
      </c>
      <c r="CO46" s="16">
        <f t="shared" ca="1" si="33"/>
        <v>2</v>
      </c>
      <c r="CP46" s="16">
        <f t="shared" ca="1" si="34"/>
        <v>2</v>
      </c>
      <c r="CQ46" s="16">
        <f t="shared" ca="1" si="51"/>
        <v>0</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P.1 (2)</v>
      </c>
      <c r="CT46" s="16">
        <f t="shared" ca="1" si="35"/>
        <v>2</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P.1 (2)</v>
      </c>
      <c r="CW46" s="16">
        <f t="shared" ca="1" si="36"/>
        <v>5</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129</v>
      </c>
      <c r="DQ46" s="16" t="str">
        <f t="shared" ca="1" si="47"/>
        <v>Portugal</v>
      </c>
    </row>
    <row r="47" spans="1:121" ht="15.95" customHeight="1">
      <c r="A47" s="16" t="str">
        <f ca="1">+Equipos!B24</f>
        <v>Sweden</v>
      </c>
      <c r="B47" s="16"/>
      <c r="C47" s="16"/>
      <c r="D47" s="16" t="str">
        <f t="shared" si="131"/>
        <v>Empate</v>
      </c>
      <c r="E47" s="16" t="str">
        <f t="shared" ca="1" si="132"/>
        <v>P.3 (2)</v>
      </c>
      <c r="F47" s="16" t="str">
        <f t="shared" ca="1" si="133"/>
        <v>P.3 (2)</v>
      </c>
      <c r="G47" s="16"/>
      <c r="H47" s="16" t="str">
        <f t="shared" ca="1" si="134"/>
        <v>P.3 (2)</v>
      </c>
      <c r="I47" s="16" t="str">
        <f t="shared" ca="1" si="135"/>
        <v>P.3 (2)</v>
      </c>
      <c r="J47" s="16"/>
      <c r="K47" s="16" t="str">
        <f t="shared" ca="1" si="136"/>
        <v>P.3 (2)</v>
      </c>
      <c r="L47" s="16" t="str">
        <f t="shared" ca="1" si="137"/>
        <v>P.3 (2)</v>
      </c>
      <c r="M47" s="16"/>
      <c r="N47" s="16" t="str">
        <f t="shared" ca="1" si="138"/>
        <v>P.3 (2)</v>
      </c>
      <c r="O47" s="16" t="str">
        <f t="shared" ca="1" si="139"/>
        <v>P.3 (2)</v>
      </c>
      <c r="P47" s="16"/>
      <c r="Q47" s="16" t="str">
        <f t="shared" ca="1" si="140"/>
        <v>P.3 (2)</v>
      </c>
      <c r="R47" s="16" t="str">
        <f t="shared" ca="1" si="141"/>
        <v>P.3 (2)</v>
      </c>
      <c r="S47" s="16"/>
      <c r="T47" s="16" t="str">
        <f t="shared" ca="1" si="142"/>
        <v>P.3 (2)</v>
      </c>
      <c r="U47" s="16" t="str">
        <f t="shared" ca="1" si="143"/>
        <v>P.3 (2)</v>
      </c>
      <c r="V47" s="17"/>
      <c r="W47" s="646"/>
      <c r="X47" s="24">
        <f ca="1">Horarios!C47</f>
        <v>46194.25</v>
      </c>
      <c r="Y47" s="25">
        <f ca="1">Horarios!C47</f>
        <v>46194.25</v>
      </c>
      <c r="Z47" s="26" t="str">
        <f>$Z$6</f>
        <v>R2</v>
      </c>
      <c r="AA47" s="27" t="str">
        <f ca="1">A48</f>
        <v>Tunisia</v>
      </c>
      <c r="AB47" s="49" t="e" cm="1" vm="24">
        <f t="array" aca="1" ref="AB47" ca="1">Ver_flag_local</f>
        <v>#VALUE!</v>
      </c>
      <c r="AC47" s="50">
        <v>1</v>
      </c>
      <c r="AD47" s="51">
        <v>1</v>
      </c>
      <c r="AE47" s="595" t="e" cm="1" vm="22">
        <f t="array" aca="1" ref="AE47" ca="1">Ver_flag_visit</f>
        <v>#VALUE!</v>
      </c>
      <c r="AF47" s="32" t="str">
        <f ca="1">A46</f>
        <v>Japan</v>
      </c>
      <c r="AG47" s="323">
        <f t="shared" si="144"/>
        <v>1</v>
      </c>
      <c r="AH47" s="195">
        <v>36</v>
      </c>
      <c r="AI47" s="181" t="str">
        <f t="shared" ref="AI47:AI49" si="148">AJ47&amp;$B$44</f>
        <v>2F</v>
      </c>
      <c r="AJ47" s="42">
        <v>2</v>
      </c>
      <c r="AK47" s="602" t="e" cm="1" vm="21">
        <f t="array" aca="1" ref="AK47" ca="1">Ver_flag_visit</f>
        <v>#VALUE!</v>
      </c>
      <c r="AL47" s="37" t="str">
        <f ca="1">IFERROR(INDEX($BD$6:$BD$53,MATCH(AI47,$BN$6:$BN$53,0)),"")</f>
        <v>Netherlands</v>
      </c>
      <c r="AM47" s="38">
        <f t="shared" ca="1" si="147"/>
        <v>6</v>
      </c>
      <c r="AN47" s="39">
        <f t="shared" ca="1" si="147"/>
        <v>3</v>
      </c>
      <c r="AO47" s="39">
        <f t="shared" ca="1" si="147"/>
        <v>2</v>
      </c>
      <c r="AP47" s="39">
        <f t="shared" ca="1" si="147"/>
        <v>0</v>
      </c>
      <c r="AQ47" s="39">
        <f t="shared" ca="1" si="147"/>
        <v>1</v>
      </c>
      <c r="AR47" s="39">
        <f t="shared" ca="1" si="147"/>
        <v>5</v>
      </c>
      <c r="AS47" s="39">
        <f t="shared" ca="1" si="147"/>
        <v>3</v>
      </c>
      <c r="AT47" s="43">
        <f t="shared" ca="1" si="147"/>
        <v>2</v>
      </c>
      <c r="AU47" s="330">
        <f ca="1">INDEX($DL$6:$DL$53,MATCH(AI47,$DP$6:$DP$53,0))</f>
        <v>1</v>
      </c>
      <c r="AV47" s="182" t="str">
        <f ca="1">INDEX($BD$6:$BD$53,MATCH(AI47,$BM$6:$BM$53,0))</f>
        <v>Netherlands</v>
      </c>
      <c r="AW47" s="210"/>
      <c r="AX47" s="171"/>
      <c r="AY47" s="203" t="str">
        <f ca="1">+A46</f>
        <v>Japan</v>
      </c>
      <c r="AZ47" s="204"/>
      <c r="BA47" s="176"/>
      <c r="BC47" s="16" t="str">
        <f ca="1">+INDEX(T_Equipos[Grupo],MATCH(WORLDCUP!BD47,T_Equipos[NombreEquipo],0))</f>
        <v>K</v>
      </c>
      <c r="BD47" s="16" t="str">
        <f ca="1">+Equipos!B43</f>
        <v>DR Congo</v>
      </c>
      <c r="BE47" s="16">
        <f t="shared" ca="1" si="16"/>
        <v>3</v>
      </c>
      <c r="BF47" s="16">
        <f t="shared" ca="1" si="41"/>
        <v>3</v>
      </c>
      <c r="BG47" s="16">
        <f t="shared" ca="1" si="17"/>
        <v>1</v>
      </c>
      <c r="BH47" s="16">
        <f t="shared" ca="1" si="18"/>
        <v>0</v>
      </c>
      <c r="BI47" s="16">
        <f t="shared" ca="1" si="19"/>
        <v>2</v>
      </c>
      <c r="BJ47" s="16">
        <f t="shared" ca="1" si="20"/>
        <v>4</v>
      </c>
      <c r="BK47" s="16">
        <f t="shared" ca="1" si="21"/>
        <v>6</v>
      </c>
      <c r="BL47" s="16">
        <f t="shared" ca="1" si="42"/>
        <v>-2</v>
      </c>
      <c r="BM47" s="16" t="str">
        <f t="shared" ca="1" si="22"/>
        <v>3K</v>
      </c>
      <c r="BN47" s="16" t="str">
        <f t="shared" ca="1" si="23"/>
        <v>3K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3</v>
      </c>
      <c r="BS47" s="16">
        <f ca="1">BP47+COUNTIFS($BQ$6:$BQ$53,BQ47,$BR$6:BR$53,"&gt;"&amp;BR47,$BC$6:$BC$53,INDEX(T_Equipos[Grupo],MATCH(BD47,T_Equipos[NombreEquipo],0)))</f>
        <v>3</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3</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3</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3</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3</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3</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3</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3</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3</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3</v>
      </c>
      <c r="DE47" s="16"/>
      <c r="DF47" s="16">
        <f t="shared" ca="1" si="52"/>
        <v>3</v>
      </c>
      <c r="DG47" s="16" t="str">
        <f ca="1">IF(DB47="-","-",COUNTIFS(DF$6:DF$53,"&lt;"&amp;DF47,$BC$6:$BC$53,INDEX(T_Equipos[Grupo],MATCH(BD47,T_Equipos[NombreEquipo],0))))</f>
        <v>-</v>
      </c>
      <c r="DH47" s="16">
        <f ca="1">DA47+COUNTIFS(DB$6:DB$53,DB47,DG$6:DG$53,"&lt;"&amp;DG47,$BC$6:$BC$53,INDEX(T_Equipos[Grupo],MATCH(BD47,T_Equipos[NombreEquipo],0)))</f>
        <v>3</v>
      </c>
      <c r="DI47" s="16"/>
      <c r="DJ47" s="16">
        <f t="shared" ca="1" si="38"/>
        <v>2</v>
      </c>
      <c r="DK47" s="16">
        <f t="shared" ca="1" si="39"/>
        <v>12</v>
      </c>
      <c r="DL47" s="16">
        <f t="shared" ca="1" si="40"/>
        <v>1</v>
      </c>
      <c r="DM47" s="16" t="str">
        <f t="shared" ca="1" si="46"/>
        <v>2.1</v>
      </c>
      <c r="DN47" s="16" cm="1">
        <f t="array" aca="1" ref="DN47" ca="1">OFFSET(Horarios!$P$3,DJ47-1,0,DL47,1)</f>
        <v>2</v>
      </c>
      <c r="DO47" s="16"/>
      <c r="DP47" s="16" t="s">
        <v>130</v>
      </c>
      <c r="DQ47" s="16" t="str">
        <f t="shared" ca="1" si="47"/>
        <v>Colombia</v>
      </c>
    </row>
    <row r="48" spans="1:121" ht="15.95" customHeight="1">
      <c r="A48" s="16" t="str">
        <f ca="1">+Equipos!B25</f>
        <v>Tunisia</v>
      </c>
      <c r="B48" s="16"/>
      <c r="C48" s="16"/>
      <c r="D48" s="16" t="str">
        <f t="shared" si="131"/>
        <v>Visitante</v>
      </c>
      <c r="E48" s="16" t="str">
        <f t="shared" ca="1" si="132"/>
        <v>P.3 (2)</v>
      </c>
      <c r="F48" s="16" t="str">
        <f t="shared" ca="1" si="133"/>
        <v>-</v>
      </c>
      <c r="G48" s="16"/>
      <c r="H48" s="16" t="str">
        <f t="shared" ca="1" si="134"/>
        <v>P.3 (2)</v>
      </c>
      <c r="I48" s="16" t="str">
        <f t="shared" ca="1" si="135"/>
        <v>-</v>
      </c>
      <c r="J48" s="16"/>
      <c r="K48" s="16" t="str">
        <f t="shared" ca="1" si="136"/>
        <v>P.3 (2)</v>
      </c>
      <c r="L48" s="16" t="str">
        <f t="shared" ca="1" si="137"/>
        <v>-</v>
      </c>
      <c r="M48" s="16"/>
      <c r="N48" s="16" t="str">
        <f t="shared" ca="1" si="138"/>
        <v>P.3 (2)</v>
      </c>
      <c r="O48" s="16" t="str">
        <f t="shared" ca="1" si="139"/>
        <v>-</v>
      </c>
      <c r="P48" s="16"/>
      <c r="Q48" s="16" t="str">
        <f t="shared" ca="1" si="140"/>
        <v>P.3 (2)</v>
      </c>
      <c r="R48" s="16" t="str">
        <f t="shared" ca="1" si="141"/>
        <v>-</v>
      </c>
      <c r="S48" s="16"/>
      <c r="T48" s="16" t="str">
        <f t="shared" ca="1" si="142"/>
        <v>P.3 (2)</v>
      </c>
      <c r="U48" s="16" t="str">
        <f t="shared" ca="1" si="143"/>
        <v>-</v>
      </c>
      <c r="V48" s="17"/>
      <c r="W48" s="646"/>
      <c r="X48" s="24">
        <f ca="1">Horarios!C48</f>
        <v>46199.041666666664</v>
      </c>
      <c r="Y48" s="25">
        <f ca="1">Horarios!C48</f>
        <v>46199.041666666664</v>
      </c>
      <c r="Z48" s="26" t="str">
        <f>$Z$8</f>
        <v>R3</v>
      </c>
      <c r="AA48" s="27" t="str">
        <f ca="1">A46</f>
        <v>Japan</v>
      </c>
      <c r="AB48" s="49" t="e" cm="1" vm="22">
        <f t="array" aca="1" ref="AB48" ca="1">Ver_flag_local</f>
        <v>#VALUE!</v>
      </c>
      <c r="AC48" s="50">
        <v>1</v>
      </c>
      <c r="AD48" s="51">
        <v>3</v>
      </c>
      <c r="AE48" s="595" t="e" cm="1" vm="23">
        <f t="array" aca="1" ref="AE48" ca="1">Ver_flag_visit</f>
        <v>#VALUE!</v>
      </c>
      <c r="AF48" s="32" t="str">
        <f ca="1">A47</f>
        <v>Sweden</v>
      </c>
      <c r="AG48" s="323">
        <f t="shared" si="144"/>
        <v>1</v>
      </c>
      <c r="AH48" s="195">
        <v>57</v>
      </c>
      <c r="AI48" s="181" t="str">
        <f t="shared" si="148"/>
        <v>3F</v>
      </c>
      <c r="AJ48" s="42">
        <v>3</v>
      </c>
      <c r="AK48" s="602" t="e" cm="1" vm="24">
        <f t="array" aca="1" ref="AK48" ca="1">Ver_flag_visit</f>
        <v>#VALUE!</v>
      </c>
      <c r="AL48" s="37" t="str">
        <f ca="1">IFERROR(INDEX($BD$6:$BD$53,MATCH(AI48,$BN$6:$BN$53,0)),"")</f>
        <v>Tunisia</v>
      </c>
      <c r="AM48" s="38">
        <f t="shared" ca="1" si="147"/>
        <v>1</v>
      </c>
      <c r="AN48" s="39">
        <f t="shared" ca="1" si="147"/>
        <v>3</v>
      </c>
      <c r="AO48" s="39">
        <f t="shared" ca="1" si="147"/>
        <v>0</v>
      </c>
      <c r="AP48" s="39">
        <f t="shared" ca="1" si="147"/>
        <v>1</v>
      </c>
      <c r="AQ48" s="39">
        <f t="shared" ca="1" si="147"/>
        <v>2</v>
      </c>
      <c r="AR48" s="39">
        <f t="shared" ca="1" si="147"/>
        <v>3</v>
      </c>
      <c r="AS48" s="39">
        <f t="shared" ca="1" si="147"/>
        <v>5</v>
      </c>
      <c r="AT48" s="43">
        <f t="shared" ca="1" si="147"/>
        <v>-2</v>
      </c>
      <c r="AU48" s="330">
        <f ca="1">INDEX($DL$6:$DL$53,MATCH(AI48,$DP$6:$DP$53,0))</f>
        <v>1</v>
      </c>
      <c r="AV48" s="182" t="str">
        <f ca="1">INDEX($BD$6:$BD$53,MATCH(AI48,$BM$6:$BM$53,0))</f>
        <v>Tunisia</v>
      </c>
      <c r="AW48" s="210"/>
      <c r="AX48" s="171"/>
      <c r="AY48" s="201" t="str">
        <f ca="1">+A47</f>
        <v>Sweden</v>
      </c>
      <c r="AZ48" s="202"/>
      <c r="BA48" s="176"/>
      <c r="BC48" s="16" t="str">
        <f ca="1">+INDEX(T_Equipos[Grupo],MATCH(WORLDCUP!BD48,T_Equipos[NombreEquipo],0))</f>
        <v>K</v>
      </c>
      <c r="BD48" s="16" t="str">
        <f ca="1">+Equipos!B44</f>
        <v>Uzbekistan</v>
      </c>
      <c r="BE48" s="16">
        <f t="shared" ca="1" si="16"/>
        <v>0</v>
      </c>
      <c r="BF48" s="16">
        <f t="shared" ca="1" si="41"/>
        <v>3</v>
      </c>
      <c r="BG48" s="16">
        <f t="shared" ca="1" si="17"/>
        <v>0</v>
      </c>
      <c r="BH48" s="16">
        <f t="shared" ca="1" si="18"/>
        <v>0</v>
      </c>
      <c r="BI48" s="16">
        <f t="shared" ca="1" si="19"/>
        <v>3</v>
      </c>
      <c r="BJ48" s="16">
        <f t="shared" ca="1" si="20"/>
        <v>0</v>
      </c>
      <c r="BK48" s="16">
        <f t="shared" ca="1" si="21"/>
        <v>7</v>
      </c>
      <c r="BL48" s="16">
        <f t="shared" ca="1" si="42"/>
        <v>-7</v>
      </c>
      <c r="BM48" s="16" t="str">
        <f t="shared" ca="1" si="22"/>
        <v>4K</v>
      </c>
      <c r="BN48" s="16" t="str">
        <f t="shared" ca="1" si="23"/>
        <v>4K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0</v>
      </c>
      <c r="BS48" s="16">
        <f ca="1">BP48+COUNTIFS($BQ$6:$BQ$53,BQ48,$BR$6:BR$53,"&gt;"&amp;BR48,$BC$6:$BC$53,INDEX(T_Equipos[Grupo],MATCH(BD48,T_Equipos[NombreEquipo],0)))</f>
        <v>4</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4</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4</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4</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4</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4</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4</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4</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4</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4</v>
      </c>
      <c r="DE48" s="16"/>
      <c r="DF48" s="16">
        <f t="shared" ca="1" si="52"/>
        <v>4</v>
      </c>
      <c r="DG48" s="16" t="str">
        <f ca="1">IF(DB48="-","-",COUNTIFS(DF$6:DF$53,"&lt;"&amp;DF48,$BC$6:$BC$53,INDEX(T_Equipos[Grupo],MATCH(BD48,T_Equipos[NombreEquipo],0))))</f>
        <v>-</v>
      </c>
      <c r="DH48" s="16">
        <f ca="1">DA48+COUNTIFS(DB$6:DB$53,DB48,DG$6:DG$53,"&lt;"&amp;DG48,$BC$6:$BC$53,INDEX(T_Equipos[Grupo],MATCH(BD48,T_Equipos[NombreEquipo],0)))</f>
        <v>4</v>
      </c>
      <c r="DI48" s="16"/>
      <c r="DJ48" s="16">
        <f t="shared" ca="1" si="38"/>
        <v>3</v>
      </c>
      <c r="DK48" s="16">
        <f t="shared" ca="1" si="39"/>
        <v>12</v>
      </c>
      <c r="DL48" s="16">
        <f t="shared" ca="1" si="40"/>
        <v>1</v>
      </c>
      <c r="DM48" s="16" t="str">
        <f t="shared" ca="1" si="46"/>
        <v>3.1</v>
      </c>
      <c r="DN48" s="16" cm="1">
        <f t="array" aca="1" ref="DN48" ca="1">OFFSET(Horarios!$P$3,DJ48-1,0,DL48,1)</f>
        <v>3</v>
      </c>
      <c r="DO48" s="16"/>
      <c r="DP48" s="16" t="s">
        <v>131</v>
      </c>
      <c r="DQ48" s="16" t="str">
        <f t="shared" ca="1" si="47"/>
        <v>DR Congo</v>
      </c>
    </row>
    <row r="49" spans="1:121" ht="15.95" customHeight="1" thickBot="1">
      <c r="A49" s="16"/>
      <c r="B49" s="16"/>
      <c r="C49" s="16"/>
      <c r="D49" s="16" t="str">
        <f t="shared" si="131"/>
        <v>Visitante</v>
      </c>
      <c r="E49" s="16" t="str">
        <f t="shared" ca="1" si="132"/>
        <v>P.3 (2)</v>
      </c>
      <c r="F49" s="16" t="str">
        <f t="shared" ca="1" si="133"/>
        <v>-</v>
      </c>
      <c r="G49" s="16"/>
      <c r="H49" s="16" t="str">
        <f t="shared" ca="1" si="134"/>
        <v>P.3 (2)</v>
      </c>
      <c r="I49" s="16" t="str">
        <f t="shared" ca="1" si="135"/>
        <v>-</v>
      </c>
      <c r="J49" s="16"/>
      <c r="K49" s="16" t="str">
        <f t="shared" ca="1" si="136"/>
        <v>P.3 (2)</v>
      </c>
      <c r="L49" s="16" t="str">
        <f t="shared" ca="1" si="137"/>
        <v>-</v>
      </c>
      <c r="M49" s="16"/>
      <c r="N49" s="16" t="str">
        <f t="shared" ca="1" si="138"/>
        <v>P.3 (2)</v>
      </c>
      <c r="O49" s="16" t="str">
        <f t="shared" ca="1" si="139"/>
        <v>-</v>
      </c>
      <c r="P49" s="16"/>
      <c r="Q49" s="16" t="str">
        <f t="shared" ca="1" si="140"/>
        <v>P.3 (2)</v>
      </c>
      <c r="R49" s="16" t="str">
        <f t="shared" ca="1" si="141"/>
        <v>-</v>
      </c>
      <c r="S49" s="16"/>
      <c r="T49" s="16" t="str">
        <f t="shared" ca="1" si="142"/>
        <v>P.3 (2)</v>
      </c>
      <c r="U49" s="16" t="str">
        <f t="shared" ca="1" si="143"/>
        <v>-</v>
      </c>
      <c r="V49" s="17"/>
      <c r="W49" s="647"/>
      <c r="X49" s="28">
        <f ca="1">Horarios!C49</f>
        <v>46199.041666666664</v>
      </c>
      <c r="Y49" s="29">
        <f ca="1">Horarios!C49</f>
        <v>46199.041666666664</v>
      </c>
      <c r="Z49" s="30" t="str">
        <f>$Z$8</f>
        <v>R3</v>
      </c>
      <c r="AA49" s="31" t="str">
        <f ca="1">A48</f>
        <v>Tunisia</v>
      </c>
      <c r="AB49" s="52" t="e" cm="1" vm="24">
        <f t="array" aca="1" ref="AB49" ca="1">Ver_flag_local</f>
        <v>#VALUE!</v>
      </c>
      <c r="AC49" s="53">
        <v>1</v>
      </c>
      <c r="AD49" s="54">
        <v>2</v>
      </c>
      <c r="AE49" s="596" t="e" cm="1" vm="21">
        <f t="array" aca="1" ref="AE49" ca="1">Ver_flag_visit</f>
        <v>#VALUE!</v>
      </c>
      <c r="AF49" s="33" t="str">
        <f ca="1">A45</f>
        <v>Netherlands</v>
      </c>
      <c r="AG49" s="323">
        <f t="shared" si="144"/>
        <v>1</v>
      </c>
      <c r="AH49" s="195">
        <v>58</v>
      </c>
      <c r="AI49" s="181" t="str">
        <f t="shared" si="148"/>
        <v>4F</v>
      </c>
      <c r="AJ49" s="44">
        <v>4</v>
      </c>
      <c r="AK49" s="604" t="e" cm="1" vm="22">
        <f t="array" aca="1" ref="AK49" ca="1">Ver_flag_visit</f>
        <v>#VALUE!</v>
      </c>
      <c r="AL49" s="45" t="str">
        <f ca="1">IFERROR(INDEX($BD$6:$BD$53,MATCH(AI49,$BN$6:$BN$53,0)),"")</f>
        <v>Japan</v>
      </c>
      <c r="AM49" s="46">
        <f t="shared" ca="1" si="147"/>
        <v>1</v>
      </c>
      <c r="AN49" s="47">
        <f t="shared" ca="1" si="147"/>
        <v>3</v>
      </c>
      <c r="AO49" s="47">
        <f t="shared" ca="1" si="147"/>
        <v>0</v>
      </c>
      <c r="AP49" s="47">
        <f t="shared" ca="1" si="147"/>
        <v>1</v>
      </c>
      <c r="AQ49" s="47">
        <f t="shared" ca="1" si="147"/>
        <v>2</v>
      </c>
      <c r="AR49" s="47">
        <f t="shared" ca="1" si="147"/>
        <v>2</v>
      </c>
      <c r="AS49" s="47">
        <f t="shared" ca="1" si="147"/>
        <v>6</v>
      </c>
      <c r="AT49" s="48">
        <f t="shared" ca="1" si="147"/>
        <v>-4</v>
      </c>
      <c r="AU49" s="330">
        <f ca="1">INDEX($DL$6:$DL$53,MATCH(AI49,$DP$6:$DP$53,0))</f>
        <v>1</v>
      </c>
      <c r="AV49" s="182" t="str">
        <f ca="1">INDEX($BD$6:$BD$53,MATCH(AI49,$BM$6:$BM$53,0))</f>
        <v>Japan</v>
      </c>
      <c r="AW49" s="210"/>
      <c r="AX49" s="171"/>
      <c r="AY49" s="205" t="str">
        <f ca="1">+A48</f>
        <v>Tunisia</v>
      </c>
      <c r="AZ49" s="206"/>
      <c r="BA49" s="176"/>
      <c r="BC49" s="16" t="str">
        <f ca="1">+INDEX(T_Equipos[Grupo],MATCH(WORLDCUP!BD49,T_Equipos[NombreEquipo],0))</f>
        <v>K</v>
      </c>
      <c r="BD49" s="16" t="str">
        <f ca="1">+Equipos!B45</f>
        <v>Colombia</v>
      </c>
      <c r="BE49" s="16">
        <f t="shared" ca="1" si="16"/>
        <v>7</v>
      </c>
      <c r="BF49" s="16">
        <f t="shared" ca="1" si="41"/>
        <v>3</v>
      </c>
      <c r="BG49" s="16">
        <f t="shared" ca="1" si="17"/>
        <v>2</v>
      </c>
      <c r="BH49" s="16">
        <f t="shared" ca="1" si="18"/>
        <v>1</v>
      </c>
      <c r="BI49" s="16">
        <f t="shared" ca="1" si="19"/>
        <v>0</v>
      </c>
      <c r="BJ49" s="16">
        <f t="shared" ca="1" si="20"/>
        <v>7</v>
      </c>
      <c r="BK49" s="16">
        <f t="shared" ca="1" si="21"/>
        <v>3</v>
      </c>
      <c r="BL49" s="16">
        <f t="shared" ca="1" si="42"/>
        <v>4</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7</v>
      </c>
      <c r="BS49" s="16">
        <f ca="1">BP49+COUNTIFS($BQ$6:$BQ$53,BQ49,$BR$6:BR$53,"&gt;"&amp;BR49,$BC$6:$BC$53,INDEX(T_Equipos[Grupo],MATCH(BD49,T_Equipos[NombreEquipo],0)))</f>
        <v>1</v>
      </c>
      <c r="BT49" s="16" t="str">
        <f ca="1">IF(COUNTIFS($BS$6:$BS$53,BS49,$BC$6:$BC$53,INDEX(T_Equipos[Grupo],MATCH(BD49,T_Equipos[NombreEquipo],0)))=1,"-","P."&amp;BS49&amp;" ("&amp;COUNTIFS($BS$6:$BS$53,BS49,$BC$6:$BC$53,INDEX(T_Equipos[Grupo],MATCH(BD49,T_Equipos[NombreEquipo],0)))&amp;")")</f>
        <v>P.1 (2)</v>
      </c>
      <c r="BU49" s="16">
        <f t="shared" ca="1" si="24"/>
        <v>0</v>
      </c>
      <c r="BV49" s="16">
        <f t="shared" ca="1" si="25"/>
        <v>1</v>
      </c>
      <c r="BW49" s="16">
        <f t="shared" ca="1" si="26"/>
        <v>0</v>
      </c>
      <c r="BX49" s="16">
        <f t="shared" ca="1" si="48"/>
        <v>1</v>
      </c>
      <c r="BY49" s="16">
        <f ca="1">BS49+COUNTIFS($BT$6:$BT$53,BT49,$BX$6:BX$53,"&gt;"&amp;BX49,$BC$6:$BC$53,INDEX(T_Equipos[Grupo],MATCH(BD49,T_Equipos[NombreEquipo],0)))</f>
        <v>1</v>
      </c>
      <c r="BZ49" s="16" t="str">
        <f ca="1">IF(COUNTIFS($BY$6:$BY$53,BY49,$BC$6:$BC$53,INDEX(T_Equipos[Grupo],MATCH(BD49,T_Equipos[NombreEquipo],0)))=1,"-","P."&amp;BY49&amp;" ("&amp;COUNTIFS($BY$6:$BY$53,BY49,$BC$6:$BC$53,INDEX(T_Equipos[Grupo],MATCH(BD49,T_Equipos[NombreEquipo],0)))&amp;")")</f>
        <v>P.1 (2)</v>
      </c>
      <c r="CA49" s="16">
        <f t="shared" ca="1" si="27"/>
        <v>2</v>
      </c>
      <c r="CB49" s="16">
        <f t="shared" ca="1" si="28"/>
        <v>2</v>
      </c>
      <c r="CC49" s="16">
        <f t="shared" ca="1" si="49"/>
        <v>0</v>
      </c>
      <c r="CD49" s="16">
        <f ca="1">BY49+COUNTIFS($BZ$6:$BZ$53,BZ49,$CC$6:CC$53,"&gt;"&amp;CC49,$BC$6:$BC$53,INDEX(T_Equipos[Grupo],MATCH(BD49,T_Equipos[NombreEquipo],0)))</f>
        <v>1</v>
      </c>
      <c r="CE49" s="16" t="str">
        <f ca="1">IF(COUNTIFS($CD$6:$CD$53,CD49,$BC$6:$BC$53,INDEX(T_Equipos[Grupo],MATCH(BD49,T_Equipos[NombreEquipo],0)))=1,"-","P."&amp;CD49&amp;" ("&amp;COUNTIFS($CD$6:$CD$53,CD49,$BC$6:$BC$53,INDEX(T_Equipos[Grupo],MATCH(BD49,T_Equipos[NombreEquipo],0)))&amp;")")</f>
        <v>P.1 (2)</v>
      </c>
      <c r="CF49" s="16">
        <f t="shared" ca="1" si="29"/>
        <v>2</v>
      </c>
      <c r="CG49" s="16">
        <f ca="1">CD49+COUNTIFS($CE$6:$CE$53,CE49,$CF$6:CF$53,"&gt;"&amp;CF49,$BC$6:$BC$53,INDEX(T_Equipos[Grupo],MATCH(BD49,T_Equipos[NombreEquipo],0)))</f>
        <v>1</v>
      </c>
      <c r="CH49" s="16" t="str">
        <f ca="1">IF(COUNTIFS($CG$6:$CG$53,CG49,$BC$6:$BC$53,INDEX(T_Equipos[Grupo],MATCH(BD49,T_Equipos[NombreEquipo],0)))=1,"-","P."&amp;CG49&amp;" ("&amp;COUNTIFS($CG$6:$CG$53,CG49,$BC$6:$BC$53,INDEX(T_Equipos[Grupo],MATCH(BD49,T_Equipos[NombreEquipo],0)))&amp;")")</f>
        <v>P.1 (2)</v>
      </c>
      <c r="CI49" s="16">
        <f t="shared" ca="1" si="30"/>
        <v>0</v>
      </c>
      <c r="CJ49" s="16">
        <f t="shared" ca="1" si="31"/>
        <v>1</v>
      </c>
      <c r="CK49" s="16">
        <f t="shared" ca="1" si="32"/>
        <v>0</v>
      </c>
      <c r="CL49" s="16">
        <f t="shared" ca="1" si="50"/>
        <v>1</v>
      </c>
      <c r="CM49" s="16">
        <f ca="1">CG49+COUNTIFS($CH$6:$CH$53,CH49,$CL$6:CL$53,"&gt;"&amp;CL49,$BC$6:$BC$53,INDEX(T_Equipos[Grupo],MATCH(BD49,T_Equipos[NombreEquipo],0)))</f>
        <v>1</v>
      </c>
      <c r="CN49" s="16" t="str">
        <f ca="1">IF(COUNTIFS($CM$6:$CM$53,CM49,$BC$6:$BC$53,INDEX(T_Equipos[Grupo],MATCH(BD49,T_Equipos[NombreEquipo],0)))=1,"-","P."&amp;CM49&amp;" ("&amp;COUNTIFS($CM$6:$CM$53,CM49,$BC$6:$BC$53,INDEX(T_Equipos[Grupo],MATCH(BD49,T_Equipos[NombreEquipo],0)))&amp;")")</f>
        <v>P.1 (2)</v>
      </c>
      <c r="CO49" s="16">
        <f t="shared" ca="1" si="33"/>
        <v>2</v>
      </c>
      <c r="CP49" s="16">
        <f t="shared" ca="1" si="34"/>
        <v>2</v>
      </c>
      <c r="CQ49" s="16">
        <f t="shared" ca="1" si="51"/>
        <v>0</v>
      </c>
      <c r="CR49" s="16">
        <f ca="1">CM49+COUNTIFS($CN$6:$CN$53,CN49,$CQ$6:CQ$53,"&gt;"&amp;CQ49,$BC$6:$BC$53,INDEX(T_Equipos[Grupo],MATCH(BD49,T_Equipos[NombreEquipo],0)))</f>
        <v>1</v>
      </c>
      <c r="CS49" s="16" t="str">
        <f ca="1">IF(COUNTIFS($CR$6:$CR$53,CR49,$BC$6:$BC$53,INDEX(T_Equipos[Grupo],MATCH(BD49,T_Equipos[NombreEquipo],0)))=1,"-","P."&amp;CR49&amp;" ("&amp;COUNTIFS($CR$6:$CR$53,CR49,$BC$6:$BC$53,INDEX(T_Equipos[Grupo],MATCH(BD49,T_Equipos[NombreEquipo],0)))&amp;")")</f>
        <v>P.1 (2)</v>
      </c>
      <c r="CT49" s="16">
        <f t="shared" ca="1" si="35"/>
        <v>2</v>
      </c>
      <c r="CU49" s="16">
        <f ca="1">CR49+COUNTIFS($CS$6:$CS$53,CS49,$CT$6:CT$53,"&gt;"&amp;CT49,$BC$6:$BC$53,INDEX(T_Equipos[Grupo],MATCH(BD49,T_Equipos[NombreEquipo],0)))</f>
        <v>1</v>
      </c>
      <c r="CV49" s="16" t="str">
        <f ca="1">IF(COUNTIFS($CU$6:$CU$53,CU49,$BC$6:$BC$53,INDEX(T_Equipos[Grupo],MATCH(BD49,T_Equipos[NombreEquipo],0)))=1,"-","P."&amp;CU49&amp;" ("&amp;COUNTIFS($CU$6:$CU$53,CU49,$BC$6:$BC$53,INDEX(T_Equipos[Grupo],MATCH(BD49,T_Equipos[NombreEquipo],0)))&amp;")")</f>
        <v>P.1 (2)</v>
      </c>
      <c r="CW49" s="16">
        <f t="shared" ca="1" si="36"/>
        <v>4</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132</v>
      </c>
      <c r="DQ49" s="16" t="str">
        <f t="shared" ca="1" si="47"/>
        <v>Uzbekistan</v>
      </c>
    </row>
    <row r="50" spans="1:121" ht="15.95"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6</v>
      </c>
      <c r="BK50" s="16">
        <f t="shared" ca="1" si="21"/>
        <v>3</v>
      </c>
      <c r="BL50" s="16">
        <f t="shared" ca="1" si="42"/>
        <v>3</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133</v>
      </c>
      <c r="DQ50" s="16" t="str">
        <f t="shared" ca="1" si="47"/>
        <v>England</v>
      </c>
    </row>
    <row r="51" spans="1:121" ht="15.95"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3</v>
      </c>
      <c r="BF51" s="16">
        <f t="shared" ca="1" si="41"/>
        <v>3</v>
      </c>
      <c r="BG51" s="16">
        <f t="shared" ca="1" si="17"/>
        <v>1</v>
      </c>
      <c r="BH51" s="16">
        <f t="shared" ca="1" si="18"/>
        <v>0</v>
      </c>
      <c r="BI51" s="16">
        <f t="shared" ca="1" si="19"/>
        <v>2</v>
      </c>
      <c r="BJ51" s="16">
        <f t="shared" ca="1" si="20"/>
        <v>5</v>
      </c>
      <c r="BK51" s="16">
        <f t="shared" ca="1" si="21"/>
        <v>6</v>
      </c>
      <c r="BL51" s="16">
        <f t="shared" ca="1" si="42"/>
        <v>-1</v>
      </c>
      <c r="BM51" s="16" t="str">
        <f t="shared" ca="1" si="22"/>
        <v>3L</v>
      </c>
      <c r="BN51" s="16" t="str">
        <f t="shared" ca="1" si="23"/>
        <v>3L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3</v>
      </c>
      <c r="BS51" s="16">
        <f ca="1">BP51+COUNTIFS($BQ$6:$BQ$53,BQ51,$BR$6:BR$53,"&gt;"&amp;BR51,$BC$6:$BC$53,INDEX(T_Equipos[Grupo],MATCH(BD51,T_Equipos[NombreEquipo],0)))</f>
        <v>3</v>
      </c>
      <c r="BT51" s="16" t="str">
        <f ca="1">IF(COUNTIFS($BS$6:$BS$53,BS51,$BC$6:$BC$53,INDEX(T_Equipos[Grupo],MATCH(BD51,T_Equipos[NombreEquipo],0)))=1,"-","P."&amp;BS51&amp;" ("&amp;COUNTIFS($BS$6:$BS$53,BS51,$BC$6:$BC$53,INDEX(T_Equipos[Grupo],MATCH(BD51,T_Equipos[NombreEquipo],0)))&amp;")")</f>
        <v>-</v>
      </c>
      <c r="BU51" s="16" t="str">
        <f t="shared" ca="1" si="24"/>
        <v>-</v>
      </c>
      <c r="BV51" s="16" t="str">
        <f t="shared" ca="1" si="25"/>
        <v>-</v>
      </c>
      <c r="BW51" s="16" t="str">
        <f t="shared" ca="1" si="26"/>
        <v>-</v>
      </c>
      <c r="BX51" s="16" t="str">
        <f t="shared" ca="1" si="48"/>
        <v>-</v>
      </c>
      <c r="BY51" s="16">
        <f ca="1">BS51+COUNTIFS($BT$6:$BT$53,BT51,$BX$6:BX$53,"&gt;"&amp;BX51,$BC$6:$BC$53,INDEX(T_Equipos[Grupo],MATCH(BD51,T_Equipos[NombreEquipo],0)))</f>
        <v>3</v>
      </c>
      <c r="BZ51" s="16" t="str">
        <f ca="1">IF(COUNTIFS($BY$6:$BY$53,BY51,$BC$6:$BC$53,INDEX(T_Equipos[Grupo],MATCH(BD51,T_Equipos[NombreEquipo],0)))=1,"-","P."&amp;BY51&amp;" ("&amp;COUNTIFS($BY$6:$BY$53,BY51,$BC$6:$BC$53,INDEX(T_Equipos[Grupo],MATCH(BD51,T_Equipos[NombreEquipo],0)))&amp;")")</f>
        <v>-</v>
      </c>
      <c r="CA51" s="16" t="str">
        <f t="shared" ca="1" si="27"/>
        <v>-</v>
      </c>
      <c r="CB51" s="16" t="str">
        <f t="shared" ca="1" si="28"/>
        <v>-</v>
      </c>
      <c r="CC51" s="16" t="str">
        <f t="shared" ca="1" si="49"/>
        <v>-</v>
      </c>
      <c r="CD51" s="16">
        <f ca="1">BY51+COUNTIFS($BZ$6:$BZ$53,BZ51,$CC$6:CC$53,"&gt;"&amp;CC51,$BC$6:$BC$53,INDEX(T_Equipos[Grupo],MATCH(BD51,T_Equipos[NombreEquipo],0)))</f>
        <v>3</v>
      </c>
      <c r="CE51" s="16" t="str">
        <f ca="1">IF(COUNTIFS($CD$6:$CD$53,CD51,$BC$6:$BC$53,INDEX(T_Equipos[Grupo],MATCH(BD51,T_Equipos[NombreEquipo],0)))=1,"-","P."&amp;CD51&amp;" ("&amp;COUNTIFS($CD$6:$CD$53,CD51,$BC$6:$BC$53,INDEX(T_Equipos[Grupo],MATCH(BD51,T_Equipos[NombreEquipo],0)))&amp;")")</f>
        <v>-</v>
      </c>
      <c r="CF51" s="16" t="str">
        <f t="shared" ca="1" si="29"/>
        <v>-</v>
      </c>
      <c r="CG51" s="16">
        <f ca="1">CD51+COUNTIFS($CE$6:$CE$53,CE51,$CF$6:CF$53,"&gt;"&amp;CF51,$BC$6:$BC$53,INDEX(T_Equipos[Grupo],MATCH(BD51,T_Equipos[NombreEquipo],0)))</f>
        <v>3</v>
      </c>
      <c r="CH51" s="16" t="str">
        <f ca="1">IF(COUNTIFS($CG$6:$CG$53,CG51,$BC$6:$BC$53,INDEX(T_Equipos[Grupo],MATCH(BD51,T_Equipos[NombreEquipo],0)))=1,"-","P."&amp;CG51&amp;" ("&amp;COUNTIFS($CG$6:$CG$53,CG51,$BC$6:$BC$53,INDEX(T_Equipos[Grupo],MATCH(BD51,T_Equipos[NombreEquipo],0)))&amp;")")</f>
        <v>-</v>
      </c>
      <c r="CI51" s="16" t="str">
        <f t="shared" ca="1" si="30"/>
        <v>-</v>
      </c>
      <c r="CJ51" s="16" t="str">
        <f t="shared" ca="1" si="31"/>
        <v>-</v>
      </c>
      <c r="CK51" s="16" t="str">
        <f t="shared" ca="1" si="32"/>
        <v>-</v>
      </c>
      <c r="CL51" s="16" t="str">
        <f t="shared" ca="1" si="50"/>
        <v>-</v>
      </c>
      <c r="CM51" s="16">
        <f ca="1">CG51+COUNTIFS($CH$6:$CH$53,CH51,$CL$6:CL$53,"&gt;"&amp;CL51,$BC$6:$BC$53,INDEX(T_Equipos[Grupo],MATCH(BD51,T_Equipos[NombreEquipo],0)))</f>
        <v>3</v>
      </c>
      <c r="CN51" s="16" t="str">
        <f ca="1">IF(COUNTIFS($CM$6:$CM$53,CM51,$BC$6:$BC$53,INDEX(T_Equipos[Grupo],MATCH(BD51,T_Equipos[NombreEquipo],0)))=1,"-","P."&amp;CM51&amp;" ("&amp;COUNTIFS($CM$6:$CM$53,CM51,$BC$6:$BC$53,INDEX(T_Equipos[Grupo],MATCH(BD51,T_Equipos[NombreEquipo],0)))&amp;")")</f>
        <v>-</v>
      </c>
      <c r="CO51" s="16" t="str">
        <f t="shared" ca="1" si="33"/>
        <v>-</v>
      </c>
      <c r="CP51" s="16" t="str">
        <f t="shared" ca="1" si="34"/>
        <v>-</v>
      </c>
      <c r="CQ51" s="16" t="str">
        <f t="shared" ca="1" si="51"/>
        <v>-</v>
      </c>
      <c r="CR51" s="16">
        <f ca="1">CM51+COUNTIFS($CN$6:$CN$53,CN51,$CQ$6:CQ$53,"&gt;"&amp;CQ51,$BC$6:$BC$53,INDEX(T_Equipos[Grupo],MATCH(BD51,T_Equipos[NombreEquipo],0)))</f>
        <v>3</v>
      </c>
      <c r="CS51" s="16" t="str">
        <f ca="1">IF(COUNTIFS($CR$6:$CR$53,CR51,$BC$6:$BC$53,INDEX(T_Equipos[Grupo],MATCH(BD51,T_Equipos[NombreEquipo],0)))=1,"-","P."&amp;CR51&amp;" ("&amp;COUNTIFS($CR$6:$CR$53,CR51,$BC$6:$BC$53,INDEX(T_Equipos[Grupo],MATCH(BD51,T_Equipos[NombreEquipo],0)))&amp;")")</f>
        <v>-</v>
      </c>
      <c r="CT51" s="16" t="str">
        <f t="shared" ca="1" si="35"/>
        <v>-</v>
      </c>
      <c r="CU51" s="16">
        <f ca="1">CR51+COUNTIFS($CS$6:$CS$53,CS51,$CT$6:CT$53,"&gt;"&amp;CT51,$BC$6:$BC$53,INDEX(T_Equipos[Grupo],MATCH(BD51,T_Equipos[NombreEquipo],0)))</f>
        <v>3</v>
      </c>
      <c r="CV51" s="16" t="str">
        <f ca="1">IF(COUNTIFS($CU$6:$CU$53,CU51,$BC$6:$BC$53,INDEX(T_Equipos[Grupo],MATCH(BD51,T_Equipos[NombreEquipo],0)))=1,"-","P."&amp;CU51&amp;" ("&amp;COUNTIFS($CU$6:$CU$53,CU51,$BC$6:$BC$53,INDEX(T_Equipos[Grupo],MATCH(BD51,T_Equipos[NombreEquipo],0)))&amp;")")</f>
        <v>-</v>
      </c>
      <c r="CW51" s="16" t="str">
        <f t="shared" ca="1" si="36"/>
        <v>-</v>
      </c>
      <c r="CX51" s="16">
        <f ca="1">CU51+COUNTIFS($CV$6:$CV$53,CV51,$CW$6:CW$53,"&gt;"&amp;CW51,$BC$6:$BC$53,INDEX(T_Equipos[Grupo],MATCH(BD51,T_Equipos[NombreEquipo],0)))</f>
        <v>3</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3</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3</v>
      </c>
      <c r="DE51" s="16"/>
      <c r="DF51" s="16">
        <f t="shared" ca="1" si="52"/>
        <v>3</v>
      </c>
      <c r="DG51" s="16" t="str">
        <f ca="1">IF(DB51="-","-",COUNTIFS(DF$6:DF$53,"&lt;"&amp;DF51,$BC$6:$BC$53,INDEX(T_Equipos[Grupo],MATCH(BD51,T_Equipos[NombreEquipo],0))))</f>
        <v>-</v>
      </c>
      <c r="DH51" s="16">
        <f ca="1">DA51+COUNTIFS(DB$6:DB$53,DB51,DG$6:DG$53,"&lt;"&amp;DG51,$BC$6:$BC$53,INDEX(T_Equipos[Grupo],MATCH(BD51,T_Equipos[NombreEquipo],0)))</f>
        <v>3</v>
      </c>
      <c r="DI51" s="16"/>
      <c r="DJ51" s="16">
        <f t="shared" ca="1" si="38"/>
        <v>2</v>
      </c>
      <c r="DK51" s="16">
        <f t="shared" ca="1" si="39"/>
        <v>12</v>
      </c>
      <c r="DL51" s="16">
        <f t="shared" ca="1" si="40"/>
        <v>1</v>
      </c>
      <c r="DM51" s="16" t="str">
        <f t="shared" ca="1" si="46"/>
        <v>2.1</v>
      </c>
      <c r="DN51" s="16" cm="1">
        <f t="array" aca="1" ref="DN51" ca="1">OFFSET(Horarios!$P$3,DJ51-1,0,DL51,1)</f>
        <v>2</v>
      </c>
      <c r="DO51" s="16"/>
      <c r="DP51" s="16" t="s">
        <v>134</v>
      </c>
      <c r="DQ51" s="16" t="str">
        <f t="shared" ca="1" si="47"/>
        <v>Ghana</v>
      </c>
    </row>
    <row r="52" spans="1:121" ht="15.95" customHeight="1" thickBot="1">
      <c r="A52" s="16" t="s">
        <v>29</v>
      </c>
      <c r="B52" s="16" t="s">
        <v>135</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66" t="s">
        <v>135</v>
      </c>
      <c r="X52" s="24">
        <f ca="1">Horarios!C52</f>
        <v>46188.875</v>
      </c>
      <c r="Y52" s="25">
        <f ca="1">Horarios!C52</f>
        <v>46188.875</v>
      </c>
      <c r="Z52" s="26" t="str">
        <f>$Z$4</f>
        <v>R1</v>
      </c>
      <c r="AA52" s="27" t="str">
        <f ca="1">A53</f>
        <v>Belgium</v>
      </c>
      <c r="AB52" s="49" t="e" cm="1" vm="25">
        <f t="array" aca="1" ref="AB52" ca="1">Ver_flag_local</f>
        <v>#VALUE!</v>
      </c>
      <c r="AC52" s="50">
        <v>2</v>
      </c>
      <c r="AD52" s="51">
        <v>1</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6</v>
      </c>
      <c r="BF52" s="16">
        <f t="shared" ca="1" si="41"/>
        <v>3</v>
      </c>
      <c r="BG52" s="16">
        <f t="shared" ca="1" si="17"/>
        <v>2</v>
      </c>
      <c r="BH52" s="16">
        <f t="shared" ca="1" si="18"/>
        <v>0</v>
      </c>
      <c r="BI52" s="16">
        <f t="shared" ca="1" si="19"/>
        <v>1</v>
      </c>
      <c r="BJ52" s="16">
        <f t="shared" ca="1" si="20"/>
        <v>7</v>
      </c>
      <c r="BK52" s="16">
        <f t="shared" ca="1" si="21"/>
        <v>5</v>
      </c>
      <c r="BL52" s="16">
        <f t="shared" ca="1" si="42"/>
        <v>2</v>
      </c>
      <c r="BM52" s="16" t="str">
        <f t="shared" ca="1" si="22"/>
        <v>2L</v>
      </c>
      <c r="BN52" s="16" t="str">
        <f t="shared" ca="1" si="23"/>
        <v>2L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6</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v>
      </c>
      <c r="BU52" s="16" t="str">
        <f t="shared" ca="1" si="24"/>
        <v>-</v>
      </c>
      <c r="BV52" s="16" t="str">
        <f t="shared" ca="1" si="25"/>
        <v>-</v>
      </c>
      <c r="BW52" s="16" t="str">
        <f t="shared" ca="1" si="26"/>
        <v>-</v>
      </c>
      <c r="BX52" s="16" t="str">
        <f t="shared" ca="1" si="48"/>
        <v>-</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v>
      </c>
      <c r="CA52" s="16" t="str">
        <f t="shared" ca="1" si="27"/>
        <v>-</v>
      </c>
      <c r="CB52" s="16" t="str">
        <f t="shared" ca="1" si="28"/>
        <v>-</v>
      </c>
      <c r="CC52" s="16" t="str">
        <f t="shared" ca="1" si="49"/>
        <v>-</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v>
      </c>
      <c r="CF52" s="16" t="str">
        <f t="shared" ca="1" si="29"/>
        <v>-</v>
      </c>
      <c r="CG52" s="16">
        <f ca="1">CD52+COUNTIFS($CE$6:$CE$53,CE52,$CF$6:CF$53,"&gt;"&amp;CF52,$BC$6:$BC$53,INDEX(T_Equipos[Grupo],MATCH(BD52,T_Equipos[NombreEquipo],0)))</f>
        <v>2</v>
      </c>
      <c r="CH52" s="16" t="str">
        <f ca="1">IF(COUNTIFS($CG$6:$CG$53,CG52,$BC$6:$BC$53,INDEX(T_Equipos[Grupo],MATCH(BD52,T_Equipos[NombreEquipo],0)))=1,"-","P."&amp;CG52&amp;" ("&amp;COUNTIFS($CG$6:$CG$53,CG52,$BC$6:$BC$53,INDEX(T_Equipos[Grupo],MATCH(BD52,T_Equipos[NombreEquipo],0)))&amp;")")</f>
        <v>-</v>
      </c>
      <c r="CI52" s="16" t="str">
        <f t="shared" ca="1" si="30"/>
        <v>-</v>
      </c>
      <c r="CJ52" s="16" t="str">
        <f t="shared" ca="1" si="31"/>
        <v>-</v>
      </c>
      <c r="CK52" s="16" t="str">
        <f t="shared" ca="1" si="32"/>
        <v>-</v>
      </c>
      <c r="CL52" s="16" t="str">
        <f t="shared" ca="1" si="50"/>
        <v>-</v>
      </c>
      <c r="CM52" s="16">
        <f ca="1">CG52+COUNTIFS($CH$6:$CH$53,CH52,$CL$6:CL$53,"&gt;"&amp;CL52,$BC$6:$BC$53,INDEX(T_Equipos[Grupo],MATCH(BD52,T_Equipos[NombreEquipo],0)))</f>
        <v>2</v>
      </c>
      <c r="CN52" s="16" t="str">
        <f ca="1">IF(COUNTIFS($CM$6:$CM$53,CM52,$BC$6:$BC$53,INDEX(T_Equipos[Grupo],MATCH(BD52,T_Equipos[NombreEquipo],0)))=1,"-","P."&amp;CM52&amp;" ("&amp;COUNTIFS($CM$6:$CM$53,CM52,$BC$6:$BC$53,INDEX(T_Equipos[Grupo],MATCH(BD52,T_Equipos[NombreEquipo],0)))&amp;")")</f>
        <v>-</v>
      </c>
      <c r="CO52" s="16" t="str">
        <f t="shared" ca="1" si="33"/>
        <v>-</v>
      </c>
      <c r="CP52" s="16" t="str">
        <f t="shared" ca="1" si="34"/>
        <v>-</v>
      </c>
      <c r="CQ52" s="16" t="str">
        <f t="shared" ca="1" si="51"/>
        <v>-</v>
      </c>
      <c r="CR52" s="16">
        <f ca="1">CM52+COUNTIFS($CN$6:$CN$53,CN52,$CQ$6:CQ$53,"&gt;"&amp;CQ52,$BC$6:$BC$53,INDEX(T_Equipos[Grupo],MATCH(BD52,T_Equipos[NombreEquipo],0)))</f>
        <v>2</v>
      </c>
      <c r="CS52" s="16" t="str">
        <f ca="1">IF(COUNTIFS($CR$6:$CR$53,CR52,$BC$6:$BC$53,INDEX(T_Equipos[Grupo],MATCH(BD52,T_Equipos[NombreEquipo],0)))=1,"-","P."&amp;CR52&amp;" ("&amp;COUNTIFS($CR$6:$CR$53,CR52,$BC$6:$BC$53,INDEX(T_Equipos[Grupo],MATCH(BD52,T_Equipos[NombreEquipo],0)))&amp;")")</f>
        <v>-</v>
      </c>
      <c r="CT52" s="16" t="str">
        <f t="shared" ca="1" si="35"/>
        <v>-</v>
      </c>
      <c r="CU52" s="16">
        <f ca="1">CR52+COUNTIFS($CS$6:$CS$53,CS52,$CT$6:CT$53,"&gt;"&amp;CT52,$BC$6:$BC$53,INDEX(T_Equipos[Grupo],MATCH(BD52,T_Equipos[NombreEquipo],0)))</f>
        <v>2</v>
      </c>
      <c r="CV52" s="16" t="str">
        <f ca="1">IF(COUNTIFS($CU$6:$CU$53,CU52,$BC$6:$BC$53,INDEX(T_Equipos[Grupo],MATCH(BD52,T_Equipos[NombreEquipo],0)))=1,"-","P."&amp;CU52&amp;" ("&amp;COUNTIFS($CU$6:$CU$53,CU52,$BC$6:$BC$53,INDEX(T_Equipos[Grupo],MATCH(BD52,T_Equipos[NombreEquipo],0)))&amp;")")</f>
        <v>-</v>
      </c>
      <c r="CW52" s="16" t="str">
        <f t="shared" ca="1" si="36"/>
        <v>-</v>
      </c>
      <c r="CX52" s="16">
        <f ca="1">CU52+COUNTIFS($CV$6:$CV$53,CV52,$CW$6:CW$53,"&gt;"&amp;CW52,$BC$6:$BC$53,INDEX(T_Equipos[Grupo],MATCH(BD52,T_Equipos[NombreEquipo],0)))</f>
        <v>2</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2</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2</v>
      </c>
      <c r="DE52" s="16"/>
      <c r="DF52" s="16">
        <f t="shared" ca="1" si="52"/>
        <v>2</v>
      </c>
      <c r="DG52" s="16" t="str">
        <f ca="1">IF(DB52="-","-",COUNTIFS(DF$6:DF$53,"&lt;"&amp;DF52,$BC$6:$BC$53,INDEX(T_Equipos[Grupo],MATCH(BD52,T_Equipos[NombreEquipo],0))))</f>
        <v>-</v>
      </c>
      <c r="DH52" s="16">
        <f ca="1">DA52+COUNTIFS(DB$6:DB$53,DB52,DG$6:DG$53,"&lt;"&amp;DG52,$BC$6:$BC$53,INDEX(T_Equipos[Grupo],MATCH(BD52,T_Equipos[NombreEquipo],0)))</f>
        <v>2</v>
      </c>
      <c r="DI52" s="16"/>
      <c r="DJ52" s="16">
        <f t="shared" ca="1" si="38"/>
        <v>3</v>
      </c>
      <c r="DK52" s="16">
        <f t="shared" ca="1" si="39"/>
        <v>12</v>
      </c>
      <c r="DL52" s="16">
        <f t="shared" ca="1" si="40"/>
        <v>1</v>
      </c>
      <c r="DM52" s="16" t="str">
        <f t="shared" ca="1" si="46"/>
        <v>3.1</v>
      </c>
      <c r="DN52" s="16" cm="1">
        <f t="array" aca="1" ref="DN52" ca="1">OFFSET(Horarios!$P$3,DJ52-1,0,DL52,1)</f>
        <v>3</v>
      </c>
      <c r="DO52" s="16"/>
      <c r="DP52" s="16" t="s">
        <v>136</v>
      </c>
      <c r="DQ52" s="16" t="str">
        <f t="shared" ca="1" si="47"/>
        <v>Croatia</v>
      </c>
    </row>
    <row r="53" spans="1:121" ht="15.95" customHeight="1">
      <c r="A53" s="16" t="str">
        <f ca="1">+Equipos!B26</f>
        <v>Belgium</v>
      </c>
      <c r="B53" s="16"/>
      <c r="C53" s="16"/>
      <c r="D53" s="16" t="str">
        <f t="shared" si="149"/>
        <v>Visitante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66"/>
      <c r="X53" s="24">
        <f ca="1">Horarios!C53</f>
        <v>46189.125</v>
      </c>
      <c r="Y53" s="25">
        <f ca="1">Horarios!C53</f>
        <v>46189.125</v>
      </c>
      <c r="Z53" s="26" t="str">
        <f>$Z$4</f>
        <v>R1</v>
      </c>
      <c r="AA53" s="27" t="str">
        <f ca="1">A55</f>
        <v>Iran</v>
      </c>
      <c r="AB53" s="49" t="e" cm="1" vm="27">
        <f t="array" aca="1" ref="AB53" ca="1">Ver_flag_local</f>
        <v>#VALUE!</v>
      </c>
      <c r="AC53" s="50">
        <v>0</v>
      </c>
      <c r="AD53" s="51">
        <v>3</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3</v>
      </c>
      <c r="BK53" s="16">
        <f t="shared" ca="1" si="21"/>
        <v>7</v>
      </c>
      <c r="BL53" s="16">
        <f t="shared" ca="1" si="42"/>
        <v>-4</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137</v>
      </c>
      <c r="DQ53" s="16" t="str">
        <f t="shared" ca="1" si="47"/>
        <v>Panama</v>
      </c>
    </row>
    <row r="54" spans="1:121" ht="15.95"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66"/>
      <c r="X54" s="24">
        <f ca="1">Horarios!C54</f>
        <v>46194.875</v>
      </c>
      <c r="Y54" s="25">
        <f ca="1">Horarios!C54</f>
        <v>46194.875</v>
      </c>
      <c r="Z54" s="26" t="str">
        <f>$Z$6</f>
        <v>R2</v>
      </c>
      <c r="AA54" s="27" t="str">
        <f ca="1">A53</f>
        <v>Belgium</v>
      </c>
      <c r="AB54" s="49" t="e" cm="1" vm="25">
        <f t="array" aca="1" ref="AB54" ca="1">Ver_flag_local</f>
        <v>#VALUE!</v>
      </c>
      <c r="AC54" s="50">
        <v>3</v>
      </c>
      <c r="AD54" s="51">
        <v>0</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7</v>
      </c>
      <c r="AS54" s="36">
        <f t="shared" ca="1" si="165"/>
        <v>2</v>
      </c>
      <c r="AT54" s="41">
        <f t="shared" ca="1" si="165"/>
        <v>5</v>
      </c>
      <c r="AU54" s="330">
        <f ca="1">INDEX($DL$6:$DL$53,MATCH(AI54,$DP$6:$DP$53,0))</f>
        <v>1</v>
      </c>
      <c r="AV54" s="182" t="str">
        <f ca="1">INDEX($BD$6:$BD$53,MATCH(AI54,$BM$6:$BM$53,0))</f>
        <v>Belgium</v>
      </c>
      <c r="AW54" s="210"/>
      <c r="AX54" s="171"/>
      <c r="AY54" s="201" t="str">
        <f ca="1">+A53</f>
        <v>Belgium</v>
      </c>
      <c r="AZ54" s="202"/>
      <c r="BA54" s="176"/>
    </row>
    <row r="55" spans="1:121" ht="15.95" customHeight="1">
      <c r="A55" s="16" t="str">
        <f ca="1">+Equipos!B28</f>
        <v>Iran</v>
      </c>
      <c r="B55" s="16"/>
      <c r="C55" s="16"/>
      <c r="D55" s="16" t="str">
        <f t="shared" si="149"/>
        <v>Local</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66"/>
      <c r="X55" s="24">
        <f ca="1">Horarios!C55</f>
        <v>46195.125</v>
      </c>
      <c r="Y55" s="25">
        <f ca="1">Horarios!C55</f>
        <v>46195.125</v>
      </c>
      <c r="Z55" s="26" t="str">
        <f>$Z$6</f>
        <v>R2</v>
      </c>
      <c r="AA55" s="27" t="str">
        <f ca="1">A56</f>
        <v>New Zealand</v>
      </c>
      <c r="AB55" s="49" t="e" cm="1" vm="28">
        <f t="array" aca="1" ref="AB55" ca="1">Ver_flag_local</f>
        <v>#VALUE!</v>
      </c>
      <c r="AC55" s="50">
        <v>2</v>
      </c>
      <c r="AD55" s="51">
        <v>1</v>
      </c>
      <c r="AE55" s="595" t="e" cm="1" vm="26">
        <f t="array" aca="1" ref="AE55" ca="1">Ver_flag_visit</f>
        <v>#VALUE!</v>
      </c>
      <c r="AF55" s="32" t="str">
        <f ca="1">A54</f>
        <v>Egypt</v>
      </c>
      <c r="AG55" s="323">
        <f t="shared" si="162"/>
        <v>1</v>
      </c>
      <c r="AH55" s="195">
        <v>40</v>
      </c>
      <c r="AI55" s="181" t="str">
        <f t="shared" ref="AI55:AI57" si="166">AJ55&amp;$B$52</f>
        <v>2G</v>
      </c>
      <c r="AJ55" s="42">
        <v>2</v>
      </c>
      <c r="AK55" s="602" t="e" cm="1" vm="28">
        <f t="array" aca="1" ref="AK55" ca="1">Ver_flag_visit</f>
        <v>#VALUE!</v>
      </c>
      <c r="AL55" s="37" t="str">
        <f ca="1">IFERROR(INDEX($BD$6:$BD$53,MATCH(AI55,$BN$6:$BN$53,0)),"")</f>
        <v>New Zealand</v>
      </c>
      <c r="AM55" s="38">
        <f t="shared" ca="1" si="165"/>
        <v>6</v>
      </c>
      <c r="AN55" s="39">
        <f t="shared" ca="1" si="165"/>
        <v>3</v>
      </c>
      <c r="AO55" s="39">
        <f t="shared" ca="1" si="165"/>
        <v>2</v>
      </c>
      <c r="AP55" s="39">
        <f t="shared" ca="1" si="165"/>
        <v>0</v>
      </c>
      <c r="AQ55" s="39">
        <f t="shared" ca="1" si="165"/>
        <v>1</v>
      </c>
      <c r="AR55" s="39">
        <f t="shared" ca="1" si="165"/>
        <v>6</v>
      </c>
      <c r="AS55" s="39">
        <f t="shared" ca="1" si="165"/>
        <v>3</v>
      </c>
      <c r="AT55" s="43">
        <f t="shared" ca="1" si="165"/>
        <v>3</v>
      </c>
      <c r="AU55" s="330">
        <f ca="1">INDEX($DL$6:$DL$53,MATCH(AI55,$DP$6:$DP$53,0))</f>
        <v>1</v>
      </c>
      <c r="AV55" s="182" t="str">
        <f ca="1">INDEX($BD$6:$BD$53,MATCH(AI55,$BM$6:$BM$53,0))</f>
        <v>New Zealand</v>
      </c>
      <c r="AW55" s="210"/>
      <c r="AX55" s="171"/>
      <c r="AY55" s="203" t="str">
        <f ca="1">+A54</f>
        <v>Egypt</v>
      </c>
      <c r="AZ55" s="204"/>
      <c r="BA55" s="176"/>
    </row>
    <row r="56" spans="1:121" ht="15.95" customHeight="1">
      <c r="A56" s="16" t="str">
        <f ca="1">+Equipos!B29</f>
        <v>New Zealand</v>
      </c>
      <c r="B56" s="16"/>
      <c r="C56" s="16"/>
      <c r="D56" s="16" t="str">
        <f t="shared" si="149"/>
        <v>Local</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66"/>
      <c r="X56" s="24">
        <f ca="1">Horarios!C56</f>
        <v>46200.208333333336</v>
      </c>
      <c r="Y56" s="25">
        <f ca="1">Horarios!C56</f>
        <v>46200.208333333336</v>
      </c>
      <c r="Z56" s="26" t="str">
        <f>$Z$8</f>
        <v>R3</v>
      </c>
      <c r="AA56" s="27" t="str">
        <f ca="1">A54</f>
        <v>Egypt</v>
      </c>
      <c r="AB56" s="49" t="e" cm="1" vm="26">
        <f t="array" aca="1" ref="AB56" ca="1">Ver_flag_local</f>
        <v>#VALUE!</v>
      </c>
      <c r="AC56" s="50">
        <v>3</v>
      </c>
      <c r="AD56" s="51">
        <v>0</v>
      </c>
      <c r="AE56" s="595" t="e" cm="1" vm="27">
        <f t="array" aca="1" ref="AE56" ca="1">Ver_flag_visit</f>
        <v>#VALUE!</v>
      </c>
      <c r="AF56" s="32" t="str">
        <f ca="1">A55</f>
        <v>Iran</v>
      </c>
      <c r="AG56" s="323">
        <f t="shared" si="162"/>
        <v>1</v>
      </c>
      <c r="AH56" s="195">
        <v>63</v>
      </c>
      <c r="AI56" s="181" t="str">
        <f t="shared" si="166"/>
        <v>3G</v>
      </c>
      <c r="AJ56" s="42">
        <v>3</v>
      </c>
      <c r="AK56" s="602" t="e" cm="1" vm="26">
        <f t="array" aca="1" ref="AK56" ca="1">Ver_flag_visit</f>
        <v>#VALUE!</v>
      </c>
      <c r="AL56" s="37" t="str">
        <f ca="1">IFERROR(INDEX($BD$6:$BD$53,MATCH(AI56,$BN$6:$BN$53,0)),"")</f>
        <v>Egypt</v>
      </c>
      <c r="AM56" s="38">
        <f t="shared" ca="1" si="165"/>
        <v>3</v>
      </c>
      <c r="AN56" s="39">
        <f t="shared" ca="1" si="165"/>
        <v>3</v>
      </c>
      <c r="AO56" s="39">
        <f t="shared" ca="1" si="165"/>
        <v>1</v>
      </c>
      <c r="AP56" s="39">
        <f t="shared" ca="1" si="165"/>
        <v>0</v>
      </c>
      <c r="AQ56" s="39">
        <f t="shared" ca="1" si="165"/>
        <v>2</v>
      </c>
      <c r="AR56" s="39">
        <f t="shared" ca="1" si="165"/>
        <v>5</v>
      </c>
      <c r="AS56" s="39">
        <f t="shared" ca="1" si="165"/>
        <v>4</v>
      </c>
      <c r="AT56" s="43">
        <f t="shared" ca="1" si="165"/>
        <v>1</v>
      </c>
      <c r="AU56" s="330">
        <f ca="1">INDEX($DL$6:$DL$53,MATCH(AI56,$DP$6:$DP$53,0))</f>
        <v>1</v>
      </c>
      <c r="AV56" s="182" t="str">
        <f ca="1">INDEX($BD$6:$BD$53,MATCH(AI56,$BM$6:$BM$53,0))</f>
        <v>Egypt</v>
      </c>
      <c r="AW56" s="210"/>
      <c r="AX56" s="171"/>
      <c r="AY56" s="201" t="str">
        <f ca="1">+A55</f>
        <v>Iran</v>
      </c>
      <c r="AZ56" s="202"/>
      <c r="BA56" s="176"/>
      <c r="BB56" s="16" t="s">
        <v>138</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5"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67"/>
      <c r="X57" s="28">
        <f ca="1">Horarios!C57</f>
        <v>46200.208333333336</v>
      </c>
      <c r="Y57" s="29">
        <f ca="1">Horarios!C57</f>
        <v>46200.208333333336</v>
      </c>
      <c r="Z57" s="30" t="str">
        <f>$Z$8</f>
        <v>R3</v>
      </c>
      <c r="AA57" s="31" t="str">
        <f ca="1">A56</f>
        <v>New Zealand</v>
      </c>
      <c r="AB57" s="52" t="e" cm="1" vm="28">
        <f t="array" aca="1" ref="AB57" ca="1">Ver_flag_local</f>
        <v>#VALUE!</v>
      </c>
      <c r="AC57" s="53">
        <v>1</v>
      </c>
      <c r="AD57" s="54">
        <v>2</v>
      </c>
      <c r="AE57" s="596" t="e" cm="1" vm="25">
        <f t="array" aca="1" ref="AE57" ca="1">Ver_flag_visit</f>
        <v>#VALUE!</v>
      </c>
      <c r="AF57" s="33" t="str">
        <f ca="1">A53</f>
        <v>Belgium</v>
      </c>
      <c r="AG57" s="323">
        <f t="shared" si="162"/>
        <v>1</v>
      </c>
      <c r="AH57" s="195">
        <v>64</v>
      </c>
      <c r="AI57" s="181" t="str">
        <f t="shared" si="166"/>
        <v>4G</v>
      </c>
      <c r="AJ57" s="44">
        <v>4</v>
      </c>
      <c r="AK57" s="604" t="e" cm="1" vm="27">
        <f t="array" aca="1" ref="AK57" ca="1">Ver_flag_visit</f>
        <v>#VALUE!</v>
      </c>
      <c r="AL57" s="45" t="str">
        <f ca="1">IFERROR(INDEX($BD$6:$BD$53,MATCH(AI57,$BN$6:$BN$53,0)),"")</f>
        <v>Iran</v>
      </c>
      <c r="AM57" s="46">
        <f t="shared" ca="1" si="165"/>
        <v>0</v>
      </c>
      <c r="AN57" s="47">
        <f t="shared" ca="1" si="165"/>
        <v>3</v>
      </c>
      <c r="AO57" s="47">
        <f t="shared" ca="1" si="165"/>
        <v>0</v>
      </c>
      <c r="AP57" s="47">
        <f t="shared" ca="1" si="165"/>
        <v>0</v>
      </c>
      <c r="AQ57" s="47">
        <f t="shared" ca="1" si="165"/>
        <v>3</v>
      </c>
      <c r="AR57" s="47">
        <f t="shared" ca="1" si="165"/>
        <v>0</v>
      </c>
      <c r="AS57" s="47">
        <f t="shared" ca="1" si="165"/>
        <v>9</v>
      </c>
      <c r="AT57" s="48">
        <f t="shared" ca="1" si="165"/>
        <v>-9</v>
      </c>
      <c r="AU57" s="330">
        <f ca="1">INDEX($DL$6:$DL$53,MATCH(AI57,$DP$6:$DP$53,0))</f>
        <v>1</v>
      </c>
      <c r="AV57" s="182" t="str">
        <f ca="1">INDEX($BD$6:$BD$53,MATCH(AI57,$BM$6:$BM$53,0))</f>
        <v>Iran</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37</v>
      </c>
      <c r="BS57" s="16" t="s">
        <v>38</v>
      </c>
      <c r="BT57" s="16" t="s">
        <v>39</v>
      </c>
      <c r="BU57" s="16" t="s">
        <v>66</v>
      </c>
      <c r="BV57" s="16" t="s">
        <v>44</v>
      </c>
      <c r="BW57" s="16" t="s">
        <v>45</v>
      </c>
      <c r="BX57" s="16" t="s">
        <v>69</v>
      </c>
      <c r="BY57" s="16" t="s">
        <v>49</v>
      </c>
      <c r="BZ57" s="16" t="s">
        <v>50</v>
      </c>
      <c r="CA57" s="16" t="s">
        <v>139</v>
      </c>
      <c r="CB57" s="16" t="s">
        <v>73</v>
      </c>
      <c r="CC57" s="16"/>
      <c r="CD57" s="16" t="s">
        <v>74</v>
      </c>
      <c r="CE57" s="16" t="s">
        <v>75</v>
      </c>
      <c r="CF57" s="16" t="s">
        <v>76</v>
      </c>
      <c r="DJ57" s="16" t="s">
        <v>77</v>
      </c>
      <c r="DK57" s="16"/>
      <c r="DL57" s="16" t="s">
        <v>79</v>
      </c>
      <c r="DM57" s="16" t="s">
        <v>80</v>
      </c>
      <c r="DN57" s="16" t="s">
        <v>81</v>
      </c>
      <c r="DO57" s="16"/>
      <c r="DP57" s="16" t="s">
        <v>82</v>
      </c>
      <c r="DQ57" s="16" t="s">
        <v>83</v>
      </c>
    </row>
    <row r="58" spans="1:121" ht="15.95"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30</v>
      </c>
      <c r="BD58" s="16" t="str">
        <f t="shared" ref="BD58:BD69" ca="1" si="168">+INDEX($BD$6:$BN$53,MATCH($BB58,$BN$6:$BN$53,0),MATCH(BD$57,$BD$5:$BN$5,0))</f>
        <v>South Korea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1</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3</v>
      </c>
      <c r="BL58" s="16">
        <f ca="1">+BJ58-BK58</f>
        <v>-2</v>
      </c>
      <c r="BM58" s="16">
        <f ca="1">CB58</f>
        <v>8</v>
      </c>
      <c r="BN58" s="16">
        <f ca="1">CF58</f>
        <v>8</v>
      </c>
      <c r="BO58" s="16" t="str">
        <f t="shared" ref="BO58:BO69" si="174">"4"&amp;BC58</f>
        <v>4A</v>
      </c>
      <c r="BP58" s="16"/>
      <c r="BQ58" s="16"/>
      <c r="BR58" s="16">
        <f t="shared" ref="BR58:BR69" ca="1" si="175">+BE58</f>
        <v>3</v>
      </c>
      <c r="BS58" s="16">
        <f ca="1">COUNTIFS(BR$58:BR$69,"&gt;"&amp;BR58)+1</f>
        <v>2</v>
      </c>
      <c r="BT58" s="16" t="str">
        <f ca="1">IF(COUNTIF(BS$58:BS$69,BS58)=1,"-","Pos. "&amp;BS58&amp;" ("&amp;COUNTIF(BS$58:BS$69,BS58)&amp;")")</f>
        <v>Pos. 2 (9)</v>
      </c>
      <c r="BU58" s="16">
        <f t="shared" ref="BU58:BU69" ca="1" si="176">IF(BT58="-","-",BL58)</f>
        <v>-2</v>
      </c>
      <c r="BV58" s="16">
        <f t="shared" ref="BV58:BV69" ca="1" si="177">BS58+COUNTIFS(BT$58:BT$69,BT58,BU$58:BU$69,"&gt;"&amp;BU58)</f>
        <v>6</v>
      </c>
      <c r="BW58" s="16" t="str">
        <f t="shared" ref="BW58:BW69" ca="1" si="178">IF(COUNTIF(BV$58:BV$69,BV58)=1,"-","Pos. "&amp;BV58&amp;" ("&amp;COUNTIF(BV$58:BV$69,BV58)&amp;")")</f>
        <v>Pos. 6 (3)</v>
      </c>
      <c r="BX58" s="16">
        <f t="shared" ref="BX58:BX69" ca="1" si="179">IF(BW58="-","-",BJ58)</f>
        <v>1</v>
      </c>
      <c r="BY58" s="16">
        <f t="shared" ref="BY58:BY69" ca="1" si="180">BV58+COUNTIFS(BW$58:BW$69,BW58,BX$58:BX$69,"&gt;"&amp;BX58)</f>
        <v>8</v>
      </c>
      <c r="BZ58" s="16" t="str">
        <f t="shared" ref="BZ58:BZ69" ca="1" si="181">IF(COUNTIF(BY$58:BY$69,BY58)=1,"-","Pos. "&amp;BY58&amp;" ("&amp;COUNTIF(BY$58:BY$69,BY58)&amp;")")</f>
        <v>-</v>
      </c>
      <c r="CA58" s="16" t="str">
        <f t="shared" ref="CA58:CA69" ca="1" si="182">IF(BZ58="-","-",COUNTIF($BD$58:$BD$69,"&gt;"&amp;BD58))</f>
        <v>-</v>
      </c>
      <c r="CB58" s="16">
        <f ca="1">BY58+COUNTIFS(BZ$58:BZ$69,BZ58,CA$58:CA$69,"&gt;"&amp;CA58)</f>
        <v>8</v>
      </c>
      <c r="CC58" s="16"/>
      <c r="CD58" s="16">
        <f t="shared" ref="CD58:CD69" ca="1" si="183">IF(OR(INDEX($AW$102:$AW$113,MATCH($BD58,$AV$102:$AV$113,0))="",BZ58="-"),CB58,INDEX($AW$102:$AW$113,MATCH($BD58,$AV$102:$AV$113,0))+CB58/1000)</f>
        <v>8</v>
      </c>
      <c r="CE58" s="16" t="str">
        <f ca="1">IF(BZ58="-","-",COUNTIF(CD$58:CD$69,"&lt;"&amp;CD58))</f>
        <v>-</v>
      </c>
      <c r="CF58" s="16">
        <f ca="1">BY58+COUNTIFS(BZ$58:BZ$69,BZ58,CE$58:CE$69,"&lt;"&amp;CE58)</f>
        <v>8</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Ivory Coast</v>
      </c>
    </row>
    <row r="59" spans="1:121" ht="15.95"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90</v>
      </c>
      <c r="BD59" s="16" t="str">
        <f t="shared" ca="1" si="168"/>
        <v>Switzerland</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0</v>
      </c>
      <c r="BH59" s="16">
        <f t="shared" ca="1" si="170"/>
        <v>3</v>
      </c>
      <c r="BI59" s="16">
        <f t="shared" ca="1" si="171"/>
        <v>0</v>
      </c>
      <c r="BJ59" s="16">
        <f t="shared" ca="1" si="172"/>
        <v>3</v>
      </c>
      <c r="BK59" s="16">
        <f t="shared" ca="1" si="173"/>
        <v>3</v>
      </c>
      <c r="BL59" s="16">
        <f t="shared" ref="BL59:BL69" ca="1" si="190">+BJ59-BK59</f>
        <v>0</v>
      </c>
      <c r="BM59" s="16">
        <f t="shared" ref="BM59:BM69" ca="1" si="191">CB59</f>
        <v>3</v>
      </c>
      <c r="BN59" s="16">
        <f t="shared" ref="BN59:BN69" ca="1" si="192">CF59</f>
        <v>3</v>
      </c>
      <c r="BO59" s="16" t="str">
        <f t="shared" si="174"/>
        <v>4B</v>
      </c>
      <c r="BP59" s="16"/>
      <c r="BQ59" s="16"/>
      <c r="BR59" s="16">
        <f t="shared" ca="1" si="175"/>
        <v>3</v>
      </c>
      <c r="BS59" s="16">
        <f t="shared" ref="BS59:BS69" ca="1" si="193">COUNTIFS(BR$58:BR$69,"&gt;"&amp;BR59)+1</f>
        <v>2</v>
      </c>
      <c r="BT59" s="16" t="str">
        <f t="shared" ref="BT59:BT69" ca="1" si="194">IF(COUNTIF(BS$58:BS$69,BS59)=1,"-","Pos. "&amp;BS59&amp;" ("&amp;COUNTIF(BS$58:BS$69,BS59)&amp;")")</f>
        <v>Pos. 2 (9)</v>
      </c>
      <c r="BU59" s="16">
        <f t="shared" ca="1" si="176"/>
        <v>0</v>
      </c>
      <c r="BV59" s="16">
        <f t="shared" ca="1" si="177"/>
        <v>3</v>
      </c>
      <c r="BW59" s="16" t="str">
        <f t="shared" ca="1" si="178"/>
        <v>-</v>
      </c>
      <c r="BX59" s="16" t="str">
        <f t="shared" ca="1" si="179"/>
        <v>-</v>
      </c>
      <c r="BY59" s="16">
        <f t="shared" ca="1" si="180"/>
        <v>3</v>
      </c>
      <c r="BZ59" s="16" t="str">
        <f t="shared" ca="1" si="181"/>
        <v>-</v>
      </c>
      <c r="CA59" s="16" t="str">
        <f t="shared" ca="1" si="182"/>
        <v>-</v>
      </c>
      <c r="CB59" s="16">
        <f t="shared" ref="CB59:CB68" ca="1" si="195">BY59+COUNTIFS(BZ$58:BZ$69,BZ59,CA$58:CA$69,"&gt;"&amp;CA59)</f>
        <v>3</v>
      </c>
      <c r="CC59" s="16"/>
      <c r="CD59" s="16">
        <f t="shared" ca="1" si="183"/>
        <v>3</v>
      </c>
      <c r="CE59" s="16" t="str">
        <f t="shared" ref="CE59:CE69" ca="1" si="196">IF(BZ59="-","-",COUNTIF(CD$58:CD$69,"&lt;"&amp;CD59))</f>
        <v>-</v>
      </c>
      <c r="CF59" s="16">
        <f t="shared" ref="CF59:CF69" ca="1" si="197">BY59+COUNTIFS(BZ$58:BZ$69,BZ59,CE$58:CE$69,"&lt;"&amp;CE59)</f>
        <v>3</v>
      </c>
      <c r="DJ59" s="16">
        <f t="shared" ca="1" si="184"/>
        <v>2</v>
      </c>
      <c r="DK59" s="16"/>
      <c r="DL59" s="16">
        <f t="shared" ca="1" si="185"/>
        <v>1</v>
      </c>
      <c r="DM59" s="16" t="str">
        <f t="shared" ca="1" si="186"/>
        <v>2.1</v>
      </c>
      <c r="DN59" s="16" cm="1">
        <f t="array" aca="1" ref="DN59" ca="1">OFFSET(Horarios!$P$3,DJ59-1,0,DL59,1)</f>
        <v>2</v>
      </c>
      <c r="DO59" s="16"/>
      <c r="DP59" s="16">
        <v>2</v>
      </c>
      <c r="DQ59" s="16" t="str">
        <f t="shared" ref="DQ59:DQ69" ca="1" si="198">INDEX($BD$58:$BD$69,MATCH(DP59,$BM$58:$BM$69,0))</f>
        <v>Egypt</v>
      </c>
    </row>
    <row r="60" spans="1:121" ht="15.95" customHeight="1" thickBot="1">
      <c r="A60" s="16" t="s">
        <v>29</v>
      </c>
      <c r="B60" s="16" t="s">
        <v>140</v>
      </c>
      <c r="C60" s="16">
        <f>COUNTIF(Equipos!$C$2:$C$49,WORLDCUP!B60)</f>
        <v>4</v>
      </c>
      <c r="D60" s="16" t="str">
        <f t="shared" ref="D60:D65" si="199">IF(OR(AC60="",AD60=""),"Pendiente",IF(AC60&gt;AD60,"Local",IF(AC60&lt;AD60,"Visitante","Empate")))</f>
        <v>Local</v>
      </c>
      <c r="E60" s="16" t="str">
        <f t="shared" ref="E60:E65" ca="1" si="200">IF(D60="Pendiente","-",INDEX($BT$6:$BT$53,MATCH($AA60,$BD$6:$BD$53,0)))</f>
        <v>P.1 (2)</v>
      </c>
      <c r="F60" s="16" t="str">
        <f t="shared" ref="F60:F65" ca="1" si="201">IF(D60="Pendiente","-",INDEX($BT$6:$BT$53,MATCH($AF60,$BD$6:$BD$53,0)))</f>
        <v>-</v>
      </c>
      <c r="G60" s="16"/>
      <c r="H60" s="16" t="str">
        <f t="shared" ref="H60:H65" ca="1" si="202">IF(D60="Pendiente","-",INDEX($BZ$6:$BZ$53,MATCH($AA60,$BD$6:$BD$53,0)))</f>
        <v>P.1 (2)</v>
      </c>
      <c r="I60" s="16" t="str">
        <f t="shared" ref="I60:I65" ca="1" si="203">IF(D60="Pendiente","-",INDEX($BZ$6:$BZ$53,MATCH($AF60,$BD$6:$BD$53,0)))</f>
        <v>-</v>
      </c>
      <c r="J60" s="16"/>
      <c r="K60" s="16" t="str">
        <f t="shared" ref="K60:K65" ca="1" si="204">IF(D60="Pendiente","-",INDEX($CE$6:$CE$53,MATCH($AA60,$BD$6:$BD$53,0)))</f>
        <v>P.1 (2)</v>
      </c>
      <c r="L60" s="16" t="str">
        <f t="shared" ref="L60:L65" ca="1" si="205">IF(D60="Pendiente","-",INDEX($CE$6:$CE$53,MATCH($AF60,$BD$6:$BD$53,0)))</f>
        <v>-</v>
      </c>
      <c r="M60" s="16"/>
      <c r="N60" s="16" t="str">
        <f t="shared" ref="N60:N65" ca="1" si="206">IF(D60="Pendiente","-",INDEX($CH$6:$CH$53,MATCH($AA60,$BD$6:$BD$53,0)))</f>
        <v>P.1 (2)</v>
      </c>
      <c r="O60" s="16" t="str">
        <f t="shared" ref="O60:O65" ca="1" si="207">IF(D60="Pendiente","-",INDEX($CH$6:$CH$53,MATCH($AF60,$BD$6:$BD$53,0)))</f>
        <v>-</v>
      </c>
      <c r="P60" s="16"/>
      <c r="Q60" s="16" t="str">
        <f t="shared" ref="Q60:Q65" ca="1" si="208">IF(D60="Pendiente","-",INDEX($CN$6:$CN$53,MATCH($AA60,$BD$6:$BD$53,0)))</f>
        <v>P.1 (2)</v>
      </c>
      <c r="R60" s="16" t="str">
        <f t="shared" ref="R60:R65" ca="1" si="209">IF(D60="Pendiente","-",INDEX($CN$6:$CN$53,MATCH($AF60,$BD$6:$BD$53,0)))</f>
        <v>-</v>
      </c>
      <c r="S60" s="16"/>
      <c r="T60" s="16" t="str">
        <f t="shared" ref="T60:T65" ca="1" si="210">IF(D60="Pendiente","-",INDEX($CS$6:$CS$53,MATCH($AA60,$BD$6:$BD$53,0)))</f>
        <v>P.1 (2)</v>
      </c>
      <c r="U60" s="16" t="str">
        <f t="shared" ref="U60:U65" ca="1" si="211">IF(D60="Pendiente","-",INDEX($CS$6:$CS$53,MATCH($AF60,$BD$6:$BD$53,0)))</f>
        <v>-</v>
      </c>
      <c r="V60" s="17"/>
      <c r="W60" s="648" t="s">
        <v>140</v>
      </c>
      <c r="X60" s="24">
        <f ca="1">Horarios!C60</f>
        <v>46188.75</v>
      </c>
      <c r="Y60" s="25">
        <f ca="1">Horarios!C60</f>
        <v>46188.75</v>
      </c>
      <c r="Z60" s="26" t="str">
        <f>$Z$4</f>
        <v>R1</v>
      </c>
      <c r="AA60" s="27" t="str">
        <f ca="1">A61</f>
        <v>Spain</v>
      </c>
      <c r="AB60" s="49" t="e" cm="1" vm="29">
        <f t="array" aca="1" ref="AB60" ca="1">Ver_flag_local</f>
        <v>#VALUE!</v>
      </c>
      <c r="AC60" s="50">
        <v>3</v>
      </c>
      <c r="AD60" s="51">
        <v>0</v>
      </c>
      <c r="AE60" s="595" t="e" cm="1" vm="30">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99</v>
      </c>
      <c r="BD60" s="16" t="str">
        <f t="shared" ca="1" si="168"/>
        <v>Scotland</v>
      </c>
      <c r="BE60" s="16">
        <f t="shared" ca="1" si="188"/>
        <v>3</v>
      </c>
      <c r="BF60" s="16">
        <f t="shared" ca="1" si="189"/>
        <v>3</v>
      </c>
      <c r="BG60" s="16">
        <f t="shared" ca="1" si="169"/>
        <v>1</v>
      </c>
      <c r="BH60" s="16">
        <f t="shared" ca="1" si="170"/>
        <v>0</v>
      </c>
      <c r="BI60" s="16">
        <f t="shared" ca="1" si="171"/>
        <v>2</v>
      </c>
      <c r="BJ60" s="16">
        <f t="shared" ca="1" si="172"/>
        <v>3</v>
      </c>
      <c r="BK60" s="16">
        <f t="shared" ca="1" si="173"/>
        <v>5</v>
      </c>
      <c r="BL60" s="16">
        <f t="shared" ca="1" si="190"/>
        <v>-2</v>
      </c>
      <c r="BM60" s="16">
        <f t="shared" ca="1" si="191"/>
        <v>7</v>
      </c>
      <c r="BN60" s="16">
        <f t="shared" ca="1" si="192"/>
        <v>7</v>
      </c>
      <c r="BO60" s="16" t="str">
        <f t="shared" si="174"/>
        <v>4C</v>
      </c>
      <c r="BP60" s="16"/>
      <c r="BQ60" s="16"/>
      <c r="BR60" s="16">
        <f t="shared" ca="1" si="175"/>
        <v>3</v>
      </c>
      <c r="BS60" s="16">
        <f t="shared" ca="1" si="193"/>
        <v>2</v>
      </c>
      <c r="BT60" s="16" t="str">
        <f t="shared" ca="1" si="194"/>
        <v>Pos. 2 (9)</v>
      </c>
      <c r="BU60" s="16">
        <f t="shared" ca="1" si="176"/>
        <v>-2</v>
      </c>
      <c r="BV60" s="16">
        <f t="shared" ca="1" si="177"/>
        <v>6</v>
      </c>
      <c r="BW60" s="16" t="str">
        <f t="shared" ca="1" si="178"/>
        <v>Pos. 6 (3)</v>
      </c>
      <c r="BX60" s="16">
        <f t="shared" ca="1" si="179"/>
        <v>3</v>
      </c>
      <c r="BY60" s="16">
        <f t="shared" ca="1" si="180"/>
        <v>7</v>
      </c>
      <c r="BZ60" s="16" t="str">
        <f t="shared" ca="1" si="181"/>
        <v>-</v>
      </c>
      <c r="CA60" s="16" t="str">
        <f t="shared" ca="1" si="182"/>
        <v>-</v>
      </c>
      <c r="CB60" s="16">
        <f t="shared" ca="1" si="195"/>
        <v>7</v>
      </c>
      <c r="CC60" s="16"/>
      <c r="CD60" s="16">
        <f t="shared" ca="1" si="183"/>
        <v>7</v>
      </c>
      <c r="CE60" s="16" t="str">
        <f t="shared" ca="1" si="196"/>
        <v>-</v>
      </c>
      <c r="CF60" s="16">
        <f t="shared" ca="1" si="197"/>
        <v>7</v>
      </c>
      <c r="DJ60" s="16">
        <f t="shared" ca="1" si="184"/>
        <v>3</v>
      </c>
      <c r="DK60" s="16"/>
      <c r="DL60" s="16">
        <f t="shared" ca="1" si="185"/>
        <v>1</v>
      </c>
      <c r="DM60" s="16" t="str">
        <f t="shared" ca="1" si="186"/>
        <v>3.1</v>
      </c>
      <c r="DN60" s="16" cm="1">
        <f t="array" aca="1" ref="DN60" ca="1">OFFSET(Horarios!$P$3,DJ60-1,0,DL60,1)</f>
        <v>3</v>
      </c>
      <c r="DO60" s="16"/>
      <c r="DP60" s="16">
        <v>3</v>
      </c>
      <c r="DQ60" s="16" t="str">
        <f t="shared" ca="1" si="198"/>
        <v>Switzerland</v>
      </c>
    </row>
    <row r="61" spans="1:121" ht="15.95" customHeight="1">
      <c r="A61" s="16" t="str">
        <f ca="1">+Equipos!B30</f>
        <v>Spain</v>
      </c>
      <c r="B61" s="16"/>
      <c r="C61" s="16"/>
      <c r="D61" s="16" t="str">
        <f t="shared" si="199"/>
        <v>Visitante</v>
      </c>
      <c r="E61" s="16" t="str">
        <f t="shared" ca="1" si="200"/>
        <v>-</v>
      </c>
      <c r="F61" s="16" t="str">
        <f t="shared" ca="1" si="201"/>
        <v>P.1 (2)</v>
      </c>
      <c r="G61" s="16"/>
      <c r="H61" s="16" t="str">
        <f t="shared" ca="1" si="202"/>
        <v>-</v>
      </c>
      <c r="I61" s="16" t="str">
        <f t="shared" ca="1" si="203"/>
        <v>P.1 (2)</v>
      </c>
      <c r="J61" s="16"/>
      <c r="K61" s="16" t="str">
        <f t="shared" ca="1" si="204"/>
        <v>-</v>
      </c>
      <c r="L61" s="16" t="str">
        <f t="shared" ca="1" si="205"/>
        <v>P.1 (2)</v>
      </c>
      <c r="M61" s="16"/>
      <c r="N61" s="16" t="str">
        <f t="shared" ca="1" si="206"/>
        <v>-</v>
      </c>
      <c r="O61" s="16" t="str">
        <f t="shared" ca="1" si="207"/>
        <v>P.1 (2)</v>
      </c>
      <c r="P61" s="16"/>
      <c r="Q61" s="16" t="str">
        <f t="shared" ca="1" si="208"/>
        <v>-</v>
      </c>
      <c r="R61" s="16" t="str">
        <f t="shared" ca="1" si="209"/>
        <v>P.1 (2)</v>
      </c>
      <c r="S61" s="16"/>
      <c r="T61" s="16" t="str">
        <f t="shared" ca="1" si="210"/>
        <v>-</v>
      </c>
      <c r="U61" s="16" t="str">
        <f t="shared" ca="1" si="211"/>
        <v>P.1 (2)</v>
      </c>
      <c r="V61" s="17"/>
      <c r="W61" s="648"/>
      <c r="X61" s="24">
        <f ca="1">Horarios!C61</f>
        <v>46189</v>
      </c>
      <c r="Y61" s="25">
        <f ca="1">Horarios!C61</f>
        <v>46189</v>
      </c>
      <c r="Z61" s="26" t="str">
        <f>$Z$4</f>
        <v>R1</v>
      </c>
      <c r="AA61" s="27" t="str">
        <f ca="1">A63</f>
        <v>Saudi Arabia</v>
      </c>
      <c r="AB61" s="49" t="e" cm="1" vm="31">
        <f t="array" aca="1" ref="AB61" ca="1">Ver_flag_local</f>
        <v>#VALUE!</v>
      </c>
      <c r="AC61" s="50">
        <v>0</v>
      </c>
      <c r="AD61" s="51">
        <v>2</v>
      </c>
      <c r="AE61" s="595" t="e" cm="1" vm="32">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108</v>
      </c>
      <c r="BD61" s="16" t="str">
        <f t="shared" ca="1" si="168"/>
        <v>Australia</v>
      </c>
      <c r="BE61" s="16">
        <f t="shared" ca="1" si="188"/>
        <v>1</v>
      </c>
      <c r="BF61" s="16">
        <f t="shared" ca="1" si="189"/>
        <v>3</v>
      </c>
      <c r="BG61" s="16">
        <f t="shared" ca="1" si="169"/>
        <v>0</v>
      </c>
      <c r="BH61" s="16">
        <f t="shared" ca="1" si="170"/>
        <v>1</v>
      </c>
      <c r="BI61" s="16">
        <f t="shared" ca="1" si="171"/>
        <v>2</v>
      </c>
      <c r="BJ61" s="16">
        <f t="shared" ca="1" si="172"/>
        <v>2</v>
      </c>
      <c r="BK61" s="16">
        <f t="shared" ca="1" si="173"/>
        <v>5</v>
      </c>
      <c r="BL61" s="16">
        <f t="shared" ca="1" si="190"/>
        <v>-3</v>
      </c>
      <c r="BM61" s="16">
        <f t="shared" ca="1" si="191"/>
        <v>12</v>
      </c>
      <c r="BN61" s="16">
        <f t="shared" ca="1" si="192"/>
        <v>12</v>
      </c>
      <c r="BO61" s="16" t="str">
        <f t="shared" si="174"/>
        <v>4D</v>
      </c>
      <c r="BP61" s="16"/>
      <c r="BQ61" s="16"/>
      <c r="BR61" s="16">
        <f t="shared" ca="1" si="175"/>
        <v>1</v>
      </c>
      <c r="BS61" s="16">
        <f t="shared" ca="1" si="193"/>
        <v>11</v>
      </c>
      <c r="BT61" s="16" t="str">
        <f t="shared" ca="1" si="194"/>
        <v>Pos. 11 (2)</v>
      </c>
      <c r="BU61" s="16">
        <f t="shared" ca="1" si="176"/>
        <v>-3</v>
      </c>
      <c r="BV61" s="16">
        <f t="shared" ca="1" si="177"/>
        <v>12</v>
      </c>
      <c r="BW61" s="16" t="str">
        <f t="shared" ca="1" si="178"/>
        <v>-</v>
      </c>
      <c r="BX61" s="16" t="str">
        <f t="shared" ca="1" si="179"/>
        <v>-</v>
      </c>
      <c r="BY61" s="16">
        <f t="shared" ca="1" si="180"/>
        <v>12</v>
      </c>
      <c r="BZ61" s="16" t="str">
        <f t="shared" ca="1" si="181"/>
        <v>-</v>
      </c>
      <c r="CA61" s="16" t="str">
        <f t="shared" ca="1" si="182"/>
        <v>-</v>
      </c>
      <c r="CB61" s="16">
        <f t="shared" ca="1" si="195"/>
        <v>12</v>
      </c>
      <c r="CC61" s="16"/>
      <c r="CD61" s="16">
        <f t="shared" ca="1" si="183"/>
        <v>12</v>
      </c>
      <c r="CE61" s="16" t="str">
        <f t="shared" ca="1" si="196"/>
        <v>-</v>
      </c>
      <c r="CF61" s="16">
        <f t="shared" ca="1" si="197"/>
        <v>12</v>
      </c>
      <c r="DJ61" s="16">
        <f t="shared" ca="1" si="184"/>
        <v>4</v>
      </c>
      <c r="DK61" s="16"/>
      <c r="DL61" s="16">
        <f t="shared" ca="1" si="185"/>
        <v>1</v>
      </c>
      <c r="DM61" s="16" t="str">
        <f t="shared" ca="1" si="186"/>
        <v>4.1</v>
      </c>
      <c r="DN61" s="16" cm="1">
        <f t="array" aca="1" ref="DN61" ca="1">OFFSET(Horarios!$P$3,DJ61-1,0,DL61,1)</f>
        <v>4</v>
      </c>
      <c r="DO61" s="16"/>
      <c r="DP61" s="16">
        <v>4</v>
      </c>
      <c r="DQ61" s="16" t="str">
        <f t="shared" ca="1" si="198"/>
        <v>Croatia</v>
      </c>
    </row>
    <row r="62" spans="1:121" ht="15.95" customHeight="1">
      <c r="A62" s="16" t="str">
        <f ca="1">+Equipos!B31</f>
        <v>Cape Verde</v>
      </c>
      <c r="B62" s="16"/>
      <c r="C62" s="16"/>
      <c r="D62" s="16" t="str">
        <f t="shared" si="199"/>
        <v>Local</v>
      </c>
      <c r="E62" s="16" t="str">
        <f t="shared" ca="1" si="200"/>
        <v>P.1 (2)</v>
      </c>
      <c r="F62" s="16" t="str">
        <f t="shared" ca="1" si="201"/>
        <v>-</v>
      </c>
      <c r="G62" s="16"/>
      <c r="H62" s="16" t="str">
        <f t="shared" ca="1" si="202"/>
        <v>P.1 (2)</v>
      </c>
      <c r="I62" s="16" t="str">
        <f t="shared" ca="1" si="203"/>
        <v>-</v>
      </c>
      <c r="J62" s="16"/>
      <c r="K62" s="16" t="str">
        <f t="shared" ca="1" si="204"/>
        <v>P.1 (2)</v>
      </c>
      <c r="L62" s="16" t="str">
        <f t="shared" ca="1" si="205"/>
        <v>-</v>
      </c>
      <c r="M62" s="16"/>
      <c r="N62" s="16" t="str">
        <f t="shared" ca="1" si="206"/>
        <v>P.1 (2)</v>
      </c>
      <c r="O62" s="16" t="str">
        <f t="shared" ca="1" si="207"/>
        <v>-</v>
      </c>
      <c r="P62" s="16"/>
      <c r="Q62" s="16" t="str">
        <f t="shared" ca="1" si="208"/>
        <v>P.1 (2)</v>
      </c>
      <c r="R62" s="16" t="str">
        <f t="shared" ca="1" si="209"/>
        <v>-</v>
      </c>
      <c r="S62" s="16"/>
      <c r="T62" s="16" t="str">
        <f t="shared" ca="1" si="210"/>
        <v>P.1 (2)</v>
      </c>
      <c r="U62" s="16" t="str">
        <f t="shared" ca="1" si="211"/>
        <v>-</v>
      </c>
      <c r="V62" s="17"/>
      <c r="W62" s="648"/>
      <c r="X62" s="24">
        <f ca="1">Horarios!C62</f>
        <v>46194.75</v>
      </c>
      <c r="Y62" s="25">
        <f ca="1">Horarios!C62</f>
        <v>46194.75</v>
      </c>
      <c r="Z62" s="26" t="str">
        <f>$Z$6</f>
        <v>R2</v>
      </c>
      <c r="AA62" s="27" t="str">
        <f ca="1">A61</f>
        <v>Spain</v>
      </c>
      <c r="AB62" s="49" t="e" cm="1" vm="29">
        <f t="array" aca="1" ref="AB62" ca="1">Ver_flag_local</f>
        <v>#VALUE!</v>
      </c>
      <c r="AC62" s="50">
        <v>3</v>
      </c>
      <c r="AD62" s="51">
        <v>0</v>
      </c>
      <c r="AE62" s="595" t="e" cm="1" vm="31">
        <f t="array" aca="1" ref="AE62" ca="1">Ver_flag_visit</f>
        <v>#VALUE!</v>
      </c>
      <c r="AF62" s="32" t="str">
        <f ca="1">A63</f>
        <v>Saudi Arabia</v>
      </c>
      <c r="AG62" s="323">
        <f t="shared" si="212"/>
        <v>1</v>
      </c>
      <c r="AH62" s="195">
        <v>38</v>
      </c>
      <c r="AI62" s="181" t="str">
        <f>AJ62&amp;$B$60</f>
        <v>1H</v>
      </c>
      <c r="AJ62" s="40">
        <v>1</v>
      </c>
      <c r="AK62" s="601" t="e" cm="1" vm="29">
        <f t="array" aca="1" ref="AK62" ca="1">Ver_flag_visit</f>
        <v>#VALUE!</v>
      </c>
      <c r="AL62" s="34" t="str">
        <f ca="1">IFERROR(INDEX($BD$6:$BD$53,MATCH(AI62,$BN$6:$BN$53,0)),"")</f>
        <v>Spain</v>
      </c>
      <c r="AM62" s="35">
        <f t="shared" ref="AM62:AT65" ca="1" si="215">INDEX($BE$6:$BN$53,MATCH($AL62,$BD$6:$BD$53,0),MATCH(AM$5,$BE$5:$BN$5,0))</f>
        <v>7</v>
      </c>
      <c r="AN62" s="36">
        <f t="shared" ca="1" si="215"/>
        <v>3</v>
      </c>
      <c r="AO62" s="36">
        <f t="shared" ca="1" si="215"/>
        <v>2</v>
      </c>
      <c r="AP62" s="36">
        <f t="shared" ca="1" si="215"/>
        <v>1</v>
      </c>
      <c r="AQ62" s="36">
        <f t="shared" ca="1" si="215"/>
        <v>0</v>
      </c>
      <c r="AR62" s="36">
        <f t="shared" ca="1" si="215"/>
        <v>8</v>
      </c>
      <c r="AS62" s="36">
        <f t="shared" ca="1" si="215"/>
        <v>2</v>
      </c>
      <c r="AT62" s="41">
        <f t="shared" ca="1" si="215"/>
        <v>6</v>
      </c>
      <c r="AU62" s="330">
        <f ca="1">INDEX($DL$6:$DL$53,MATCH(AI62,$DP$6:$DP$53,0))</f>
        <v>1</v>
      </c>
      <c r="AV62" s="182" t="str">
        <f ca="1">INDEX($BD$6:$BD$53,MATCH(AI62,$BM$6:$BM$53,0))</f>
        <v>Spain</v>
      </c>
      <c r="AW62" s="210"/>
      <c r="AX62" s="171"/>
      <c r="AY62" s="201" t="str">
        <f ca="1">+A61</f>
        <v>Spain</v>
      </c>
      <c r="AZ62" s="202"/>
      <c r="BA62" s="176"/>
      <c r="BB62" s="16" t="str">
        <f t="shared" si="187"/>
        <v>3E</v>
      </c>
      <c r="BC62" s="16" t="s">
        <v>117</v>
      </c>
      <c r="BD62" s="16" t="str">
        <f t="shared" ca="1" si="168"/>
        <v>Ivory Coast</v>
      </c>
      <c r="BE62" s="16">
        <f t="shared" ca="1" si="188"/>
        <v>4</v>
      </c>
      <c r="BF62" s="16">
        <f t="shared" ca="1" si="189"/>
        <v>3</v>
      </c>
      <c r="BG62" s="16">
        <f t="shared" ca="1" si="169"/>
        <v>1</v>
      </c>
      <c r="BH62" s="16">
        <f t="shared" ca="1" si="170"/>
        <v>1</v>
      </c>
      <c r="BI62" s="16">
        <f t="shared" ca="1" si="171"/>
        <v>1</v>
      </c>
      <c r="BJ62" s="16">
        <f t="shared" ca="1" si="172"/>
        <v>6</v>
      </c>
      <c r="BK62" s="16">
        <f t="shared" ca="1" si="173"/>
        <v>5</v>
      </c>
      <c r="BL62" s="16">
        <f t="shared" ca="1" si="190"/>
        <v>1</v>
      </c>
      <c r="BM62" s="16">
        <f t="shared" ca="1" si="191"/>
        <v>1</v>
      </c>
      <c r="BN62" s="16">
        <f t="shared" ca="1" si="192"/>
        <v>1</v>
      </c>
      <c r="BO62" s="16" t="str">
        <f t="shared" si="174"/>
        <v>4E</v>
      </c>
      <c r="BP62" s="16"/>
      <c r="BQ62" s="16"/>
      <c r="BR62" s="16">
        <f t="shared" ca="1" si="175"/>
        <v>4</v>
      </c>
      <c r="BS62" s="16">
        <f t="shared" ca="1" si="193"/>
        <v>1</v>
      </c>
      <c r="BT62" s="16" t="str">
        <f t="shared" ca="1" si="194"/>
        <v>-</v>
      </c>
      <c r="BU62" s="16" t="str">
        <f t="shared" ca="1" si="176"/>
        <v>-</v>
      </c>
      <c r="BV62" s="16">
        <f t="shared" ca="1" si="177"/>
        <v>1</v>
      </c>
      <c r="BW62" s="16" t="str">
        <f t="shared" ca="1" si="178"/>
        <v>-</v>
      </c>
      <c r="BX62" s="16" t="str">
        <f t="shared" ca="1" si="179"/>
        <v>-</v>
      </c>
      <c r="BY62" s="16">
        <f t="shared" ca="1" si="180"/>
        <v>1</v>
      </c>
      <c r="BZ62" s="16" t="str">
        <f t="shared" ca="1" si="181"/>
        <v>-</v>
      </c>
      <c r="CA62" s="16" t="str">
        <f t="shared" ca="1" si="182"/>
        <v>-</v>
      </c>
      <c r="CB62" s="16">
        <f t="shared" ca="1" si="195"/>
        <v>1</v>
      </c>
      <c r="CC62" s="16"/>
      <c r="CD62" s="16">
        <f t="shared" ca="1" si="183"/>
        <v>1</v>
      </c>
      <c r="CE62" s="16" t="str">
        <f t="shared" ca="1" si="196"/>
        <v>-</v>
      </c>
      <c r="CF62" s="16">
        <f t="shared" ca="1" si="197"/>
        <v>1</v>
      </c>
      <c r="DJ62" s="16">
        <f t="shared" ca="1" si="184"/>
        <v>5</v>
      </c>
      <c r="DK62" s="16"/>
      <c r="DL62" s="16">
        <f t="shared" ca="1" si="185"/>
        <v>1</v>
      </c>
      <c r="DM62" s="16" t="str">
        <f t="shared" ca="1" si="186"/>
        <v>5.1</v>
      </c>
      <c r="DN62" s="16" cm="1">
        <f t="array" aca="1" ref="DN62" ca="1">OFFSET(Horarios!$P$3,DJ62-1,0,DL62,1)</f>
        <v>5</v>
      </c>
      <c r="DO62" s="16"/>
      <c r="DP62" s="16">
        <v>5</v>
      </c>
      <c r="DQ62" s="16" t="str">
        <f t="shared" ca="1" si="198"/>
        <v>Norway</v>
      </c>
    </row>
    <row r="63" spans="1:121" ht="15.95" customHeight="1">
      <c r="A63" s="16" t="str">
        <f ca="1">+Equipos!B32</f>
        <v>Saudi Arabia</v>
      </c>
      <c r="B63" s="16"/>
      <c r="C63" s="16"/>
      <c r="D63" s="16" t="str">
        <f t="shared" si="199"/>
        <v>Local</v>
      </c>
      <c r="E63" s="16" t="str">
        <f t="shared" ca="1" si="200"/>
        <v>P.1 (2)</v>
      </c>
      <c r="F63" s="16" t="str">
        <f t="shared" ca="1" si="201"/>
        <v>-</v>
      </c>
      <c r="G63" s="16"/>
      <c r="H63" s="16" t="str">
        <f t="shared" ca="1" si="202"/>
        <v>P.1 (2)</v>
      </c>
      <c r="I63" s="16" t="str">
        <f t="shared" ca="1" si="203"/>
        <v>-</v>
      </c>
      <c r="J63" s="16"/>
      <c r="K63" s="16" t="str">
        <f t="shared" ca="1" si="204"/>
        <v>P.1 (2)</v>
      </c>
      <c r="L63" s="16" t="str">
        <f t="shared" ca="1" si="205"/>
        <v>-</v>
      </c>
      <c r="M63" s="16"/>
      <c r="N63" s="16" t="str">
        <f t="shared" ca="1" si="206"/>
        <v>P.1 (2)</v>
      </c>
      <c r="O63" s="16" t="str">
        <f t="shared" ca="1" si="207"/>
        <v>-</v>
      </c>
      <c r="P63" s="16"/>
      <c r="Q63" s="16" t="str">
        <f t="shared" ca="1" si="208"/>
        <v>P.1 (2)</v>
      </c>
      <c r="R63" s="16" t="str">
        <f t="shared" ca="1" si="209"/>
        <v>-</v>
      </c>
      <c r="S63" s="16"/>
      <c r="T63" s="16" t="str">
        <f t="shared" ca="1" si="210"/>
        <v>P.1 (2)</v>
      </c>
      <c r="U63" s="16" t="str">
        <f t="shared" ca="1" si="211"/>
        <v>-</v>
      </c>
      <c r="V63" s="17"/>
      <c r="W63" s="648"/>
      <c r="X63" s="24">
        <f ca="1">Horarios!C63</f>
        <v>46195</v>
      </c>
      <c r="Y63" s="25">
        <f ca="1">Horarios!C63</f>
        <v>46195</v>
      </c>
      <c r="Z63" s="26" t="str">
        <f>$Z$6</f>
        <v>R2</v>
      </c>
      <c r="AA63" s="27" t="str">
        <f ca="1">A64</f>
        <v>Uruguay</v>
      </c>
      <c r="AB63" s="49" t="e" cm="1" vm="32">
        <f t="array" aca="1" ref="AB63" ca="1">Ver_flag_local</f>
        <v>#VALUE!</v>
      </c>
      <c r="AC63" s="50">
        <v>2</v>
      </c>
      <c r="AD63" s="51">
        <v>0</v>
      </c>
      <c r="AE63" s="595" t="e" cm="1" vm="30">
        <f t="array" aca="1" ref="AE63" ca="1">Ver_flag_visit</f>
        <v>#VALUE!</v>
      </c>
      <c r="AF63" s="32" t="str">
        <f ca="1">A62</f>
        <v>Cape Verde</v>
      </c>
      <c r="AG63" s="323">
        <f t="shared" si="212"/>
        <v>1</v>
      </c>
      <c r="AH63" s="195">
        <v>37</v>
      </c>
      <c r="AI63" s="181" t="str">
        <f t="shared" ref="AI63:AI65" si="216">AJ63&amp;$B$60</f>
        <v>2H</v>
      </c>
      <c r="AJ63" s="42">
        <v>2</v>
      </c>
      <c r="AK63" s="602" t="e" cm="1" vm="32">
        <f t="array" aca="1" ref="AK63" ca="1">Ver_flag_visit</f>
        <v>#VALUE!</v>
      </c>
      <c r="AL63" s="37" t="str">
        <f ca="1">IFERROR(INDEX($BD$6:$BD$53,MATCH(AI63,$BN$6:$BN$53,0)),"")</f>
        <v>Uruguay</v>
      </c>
      <c r="AM63" s="38">
        <f t="shared" ca="1" si="215"/>
        <v>7</v>
      </c>
      <c r="AN63" s="39">
        <f t="shared" ca="1" si="215"/>
        <v>3</v>
      </c>
      <c r="AO63" s="39">
        <f t="shared" ca="1" si="215"/>
        <v>2</v>
      </c>
      <c r="AP63" s="39">
        <f t="shared" ca="1" si="215"/>
        <v>1</v>
      </c>
      <c r="AQ63" s="39">
        <f t="shared" ca="1" si="215"/>
        <v>0</v>
      </c>
      <c r="AR63" s="39">
        <f t="shared" ca="1" si="215"/>
        <v>6</v>
      </c>
      <c r="AS63" s="39">
        <f t="shared" ca="1" si="215"/>
        <v>2</v>
      </c>
      <c r="AT63" s="43">
        <f t="shared" ca="1" si="215"/>
        <v>4</v>
      </c>
      <c r="AU63" s="330">
        <f ca="1">INDEX($DL$6:$DL$53,MATCH(AI63,$DP$6:$DP$53,0))</f>
        <v>1</v>
      </c>
      <c r="AV63" s="182" t="str">
        <f ca="1">INDEX($BD$6:$BD$53,MATCH(AI63,$BM$6:$BM$53,0))</f>
        <v>Uruguay</v>
      </c>
      <c r="AW63" s="210"/>
      <c r="AX63" s="171"/>
      <c r="AY63" s="203" t="str">
        <f ca="1">+A62</f>
        <v>Cape Verde</v>
      </c>
      <c r="AZ63" s="204"/>
      <c r="BA63" s="176"/>
      <c r="BB63" s="16" t="str">
        <f t="shared" si="187"/>
        <v>3F</v>
      </c>
      <c r="BC63" s="16" t="s">
        <v>126</v>
      </c>
      <c r="BD63" s="16" t="str">
        <f t="shared" ca="1" si="168"/>
        <v>Tunisia</v>
      </c>
      <c r="BE63" s="16">
        <f t="shared" ca="1" si="188"/>
        <v>1</v>
      </c>
      <c r="BF63" s="16">
        <f t="shared" ca="1" si="189"/>
        <v>3</v>
      </c>
      <c r="BG63" s="16">
        <f t="shared" ca="1" si="169"/>
        <v>0</v>
      </c>
      <c r="BH63" s="16">
        <f t="shared" ca="1" si="170"/>
        <v>1</v>
      </c>
      <c r="BI63" s="16">
        <f t="shared" ca="1" si="171"/>
        <v>2</v>
      </c>
      <c r="BJ63" s="16">
        <f t="shared" ca="1" si="172"/>
        <v>3</v>
      </c>
      <c r="BK63" s="16">
        <f t="shared" ca="1" si="173"/>
        <v>5</v>
      </c>
      <c r="BL63" s="16">
        <f t="shared" ca="1" si="190"/>
        <v>-2</v>
      </c>
      <c r="BM63" s="16">
        <f t="shared" ca="1" si="191"/>
        <v>11</v>
      </c>
      <c r="BN63" s="16">
        <f t="shared" ca="1" si="192"/>
        <v>11</v>
      </c>
      <c r="BO63" s="16" t="str">
        <f t="shared" si="174"/>
        <v>4F</v>
      </c>
      <c r="BP63" s="16"/>
      <c r="BQ63" s="16"/>
      <c r="BR63" s="16">
        <f t="shared" ca="1" si="175"/>
        <v>1</v>
      </c>
      <c r="BS63" s="16">
        <f t="shared" ca="1" si="193"/>
        <v>11</v>
      </c>
      <c r="BT63" s="16" t="str">
        <f t="shared" ca="1" si="194"/>
        <v>Pos. 11 (2)</v>
      </c>
      <c r="BU63" s="16">
        <f t="shared" ca="1" si="176"/>
        <v>-2</v>
      </c>
      <c r="BV63" s="16">
        <f t="shared" ca="1" si="177"/>
        <v>11</v>
      </c>
      <c r="BW63" s="16" t="str">
        <f t="shared" ca="1" si="178"/>
        <v>-</v>
      </c>
      <c r="BX63" s="16" t="str">
        <f t="shared" ca="1" si="179"/>
        <v>-</v>
      </c>
      <c r="BY63" s="16">
        <f t="shared" ca="1" si="180"/>
        <v>11</v>
      </c>
      <c r="BZ63" s="16" t="str">
        <f t="shared" ca="1" si="181"/>
        <v>-</v>
      </c>
      <c r="CA63" s="16" t="str">
        <f t="shared" ca="1" si="182"/>
        <v>-</v>
      </c>
      <c r="CB63" s="16">
        <f t="shared" ca="1" si="195"/>
        <v>11</v>
      </c>
      <c r="CC63" s="16"/>
      <c r="CD63" s="16">
        <f t="shared" ca="1" si="183"/>
        <v>11</v>
      </c>
      <c r="CE63" s="16" t="str">
        <f t="shared" ca="1" si="196"/>
        <v>-</v>
      </c>
      <c r="CF63" s="16">
        <f t="shared" ca="1" si="197"/>
        <v>11</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DR Congo</v>
      </c>
    </row>
    <row r="64" spans="1:121" ht="15.95" customHeight="1">
      <c r="A64" s="16" t="str">
        <f ca="1">+Equipos!B33</f>
        <v>Uruguay</v>
      </c>
      <c r="B64" s="16"/>
      <c r="C64" s="16"/>
      <c r="D64" s="16" t="str">
        <f t="shared" si="199"/>
        <v>Visitante</v>
      </c>
      <c r="E64" s="16" t="str">
        <f t="shared" ca="1" si="200"/>
        <v>-</v>
      </c>
      <c r="F64" s="16" t="str">
        <f t="shared" ca="1" si="201"/>
        <v>-</v>
      </c>
      <c r="G64" s="16"/>
      <c r="H64" s="16" t="str">
        <f t="shared" ca="1" si="202"/>
        <v>-</v>
      </c>
      <c r="I64" s="16" t="str">
        <f t="shared" ca="1" si="203"/>
        <v>-</v>
      </c>
      <c r="J64" s="16"/>
      <c r="K64" s="16" t="str">
        <f t="shared" ca="1" si="204"/>
        <v>-</v>
      </c>
      <c r="L64" s="16" t="str">
        <f t="shared" ca="1" si="205"/>
        <v>-</v>
      </c>
      <c r="M64" s="16"/>
      <c r="N64" s="16" t="str">
        <f t="shared" ca="1" si="206"/>
        <v>-</v>
      </c>
      <c r="O64" s="16" t="str">
        <f t="shared" ca="1" si="207"/>
        <v>-</v>
      </c>
      <c r="P64" s="16"/>
      <c r="Q64" s="16" t="str">
        <f t="shared" ca="1" si="208"/>
        <v>-</v>
      </c>
      <c r="R64" s="16" t="str">
        <f t="shared" ca="1" si="209"/>
        <v>-</v>
      </c>
      <c r="S64" s="16"/>
      <c r="T64" s="16" t="str">
        <f t="shared" ca="1" si="210"/>
        <v>-</v>
      </c>
      <c r="U64" s="16" t="str">
        <f t="shared" ca="1" si="211"/>
        <v>-</v>
      </c>
      <c r="V64" s="17"/>
      <c r="W64" s="648"/>
      <c r="X64" s="24">
        <f ca="1">Horarios!C64</f>
        <v>46200.083333333336</v>
      </c>
      <c r="Y64" s="25">
        <f ca="1">Horarios!C64</f>
        <v>46200.083333333336</v>
      </c>
      <c r="Z64" s="26" t="str">
        <f>$Z$8</f>
        <v>R3</v>
      </c>
      <c r="AA64" s="27" t="str">
        <f ca="1">A62</f>
        <v>Cape Verde</v>
      </c>
      <c r="AB64" s="49" t="e" cm="1" vm="30">
        <f t="array" aca="1" ref="AB64" ca="1">Ver_flag_local</f>
        <v>#VALUE!</v>
      </c>
      <c r="AC64" s="50">
        <v>1</v>
      </c>
      <c r="AD64" s="51">
        <v>2</v>
      </c>
      <c r="AE64" s="595" t="e" cm="1" vm="31">
        <f t="array" aca="1" ref="AE64" ca="1">Ver_flag_visit</f>
        <v>#VALUE!</v>
      </c>
      <c r="AF64" s="32" t="str">
        <f ca="1">A63</f>
        <v>Saudi Arabia</v>
      </c>
      <c r="AG64" s="323">
        <f t="shared" si="212"/>
        <v>1</v>
      </c>
      <c r="AH64" s="195">
        <v>65</v>
      </c>
      <c r="AI64" s="181" t="str">
        <f t="shared" si="216"/>
        <v>3H</v>
      </c>
      <c r="AJ64" s="42">
        <v>3</v>
      </c>
      <c r="AK64" s="602" t="e" cm="1" vm="31">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2</v>
      </c>
      <c r="AS64" s="39">
        <f t="shared" ca="1" si="215"/>
        <v>6</v>
      </c>
      <c r="AT64" s="43">
        <f t="shared" ca="1" si="215"/>
        <v>-4</v>
      </c>
      <c r="AU64" s="330">
        <f ca="1">INDEX($DL$6:$DL$53,MATCH(AI64,$DP$6:$DP$53,0))</f>
        <v>1</v>
      </c>
      <c r="AV64" s="182" t="str">
        <f ca="1">INDEX($BD$6:$BD$53,MATCH(AI64,$BM$6:$BM$53,0))</f>
        <v>Saudi Arabia</v>
      </c>
      <c r="AW64" s="210">
        <v>4</v>
      </c>
      <c r="AX64" s="171"/>
      <c r="AY64" s="201" t="str">
        <f ca="1">+A63</f>
        <v>Saudi Arabia</v>
      </c>
      <c r="AZ64" s="202"/>
      <c r="BA64" s="176"/>
      <c r="BB64" s="16" t="str">
        <f t="shared" si="187"/>
        <v>3G</v>
      </c>
      <c r="BC64" s="16" t="s">
        <v>135</v>
      </c>
      <c r="BD64" s="16" t="str">
        <f t="shared" ca="1" si="168"/>
        <v>Egypt</v>
      </c>
      <c r="BE64" s="16">
        <f t="shared" ca="1" si="188"/>
        <v>3</v>
      </c>
      <c r="BF64" s="16">
        <f t="shared" ca="1" si="189"/>
        <v>3</v>
      </c>
      <c r="BG64" s="16">
        <f t="shared" ca="1" si="169"/>
        <v>1</v>
      </c>
      <c r="BH64" s="16">
        <f t="shared" ca="1" si="170"/>
        <v>0</v>
      </c>
      <c r="BI64" s="16">
        <f t="shared" ca="1" si="171"/>
        <v>2</v>
      </c>
      <c r="BJ64" s="16">
        <f t="shared" ca="1" si="172"/>
        <v>5</v>
      </c>
      <c r="BK64" s="16">
        <f t="shared" ca="1" si="173"/>
        <v>4</v>
      </c>
      <c r="BL64" s="16">
        <f t="shared" ca="1" si="190"/>
        <v>1</v>
      </c>
      <c r="BM64" s="16">
        <f t="shared" ca="1" si="191"/>
        <v>2</v>
      </c>
      <c r="BN64" s="16">
        <f t="shared" ca="1" si="192"/>
        <v>2</v>
      </c>
      <c r="BO64" s="16" t="str">
        <f t="shared" si="174"/>
        <v>4G</v>
      </c>
      <c r="BP64" s="16"/>
      <c r="BQ64" s="16"/>
      <c r="BR64" s="16">
        <f t="shared" ca="1" si="175"/>
        <v>3</v>
      </c>
      <c r="BS64" s="16">
        <f t="shared" ca="1" si="193"/>
        <v>2</v>
      </c>
      <c r="BT64" s="16" t="str">
        <f t="shared" ca="1" si="194"/>
        <v>Pos. 2 (9)</v>
      </c>
      <c r="BU64" s="16">
        <f t="shared" ca="1" si="176"/>
        <v>1</v>
      </c>
      <c r="BV64" s="16">
        <f t="shared" ca="1" si="177"/>
        <v>2</v>
      </c>
      <c r="BW64" s="16" t="str">
        <f t="shared" ca="1" si="178"/>
        <v>-</v>
      </c>
      <c r="BX64" s="16" t="str">
        <f t="shared" ca="1" si="179"/>
        <v>-</v>
      </c>
      <c r="BY64" s="16">
        <f t="shared" ca="1" si="180"/>
        <v>2</v>
      </c>
      <c r="BZ64" s="16" t="str">
        <f t="shared" ca="1" si="181"/>
        <v>-</v>
      </c>
      <c r="CA64" s="16" t="str">
        <f t="shared" ca="1" si="182"/>
        <v>-</v>
      </c>
      <c r="CB64" s="16">
        <f t="shared" ca="1" si="195"/>
        <v>2</v>
      </c>
      <c r="CC64" s="16"/>
      <c r="CD64" s="16">
        <f t="shared" ca="1" si="183"/>
        <v>2</v>
      </c>
      <c r="CE64" s="16" t="str">
        <f t="shared" ca="1" si="196"/>
        <v>-</v>
      </c>
      <c r="CF64" s="16">
        <f t="shared" ca="1" si="197"/>
        <v>2</v>
      </c>
      <c r="DJ64" s="16">
        <f t="shared" ca="1" si="184"/>
        <v>7</v>
      </c>
      <c r="DK64" s="16"/>
      <c r="DL64" s="16">
        <f t="shared" ca="1" si="185"/>
        <v>1</v>
      </c>
      <c r="DM64" s="16" t="str">
        <f t="shared" ca="1" si="186"/>
        <v>7.1</v>
      </c>
      <c r="DN64" s="16" cm="1">
        <f t="array" aca="1" ref="DN64" ca="1">OFFSET(Horarios!$P$3,DJ64-1,0,DL64,1)</f>
        <v>7</v>
      </c>
      <c r="DO64" s="16"/>
      <c r="DP64" s="16">
        <v>7</v>
      </c>
      <c r="DQ64" s="16" t="str">
        <f t="shared" ca="1" si="198"/>
        <v>Scotland</v>
      </c>
    </row>
    <row r="65" spans="1:121" ht="15.95" customHeight="1" thickBot="1">
      <c r="A65" s="16"/>
      <c r="B65" s="16"/>
      <c r="C65" s="16"/>
      <c r="D65" s="16" t="str">
        <f t="shared" si="199"/>
        <v>Empate</v>
      </c>
      <c r="E65" s="16" t="str">
        <f t="shared" ca="1" si="200"/>
        <v>P.1 (2)</v>
      </c>
      <c r="F65" s="16" t="str">
        <f t="shared" ca="1" si="201"/>
        <v>P.1 (2)</v>
      </c>
      <c r="G65" s="16"/>
      <c r="H65" s="16" t="str">
        <f t="shared" ca="1" si="202"/>
        <v>P.1 (2)</v>
      </c>
      <c r="I65" s="16" t="str">
        <f t="shared" ca="1" si="203"/>
        <v>P.1 (2)</v>
      </c>
      <c r="J65" s="16"/>
      <c r="K65" s="16" t="str">
        <f t="shared" ca="1" si="204"/>
        <v>P.1 (2)</v>
      </c>
      <c r="L65" s="16" t="str">
        <f t="shared" ca="1" si="205"/>
        <v>P.1 (2)</v>
      </c>
      <c r="M65" s="16"/>
      <c r="N65" s="16" t="str">
        <f t="shared" ca="1" si="206"/>
        <v>P.1 (2)</v>
      </c>
      <c r="O65" s="16" t="str">
        <f t="shared" ca="1" si="207"/>
        <v>P.1 (2)</v>
      </c>
      <c r="P65" s="16"/>
      <c r="Q65" s="16" t="str">
        <f t="shared" ca="1" si="208"/>
        <v>P.1 (2)</v>
      </c>
      <c r="R65" s="16" t="str">
        <f t="shared" ca="1" si="209"/>
        <v>P.1 (2)</v>
      </c>
      <c r="S65" s="16"/>
      <c r="T65" s="16" t="str">
        <f t="shared" ca="1" si="210"/>
        <v>P.1 (2)</v>
      </c>
      <c r="U65" s="16" t="str">
        <f t="shared" ca="1" si="211"/>
        <v>P.1 (2)</v>
      </c>
      <c r="V65" s="17"/>
      <c r="W65" s="649"/>
      <c r="X65" s="28">
        <f ca="1">Horarios!C65</f>
        <v>46200.083333333336</v>
      </c>
      <c r="Y65" s="29">
        <f ca="1">Horarios!C65</f>
        <v>46200.083333333336</v>
      </c>
      <c r="Z65" s="30" t="str">
        <f>$Z$8</f>
        <v>R3</v>
      </c>
      <c r="AA65" s="31" t="str">
        <f ca="1">A64</f>
        <v>Uruguay</v>
      </c>
      <c r="AB65" s="52" t="e" cm="1" vm="32">
        <f t="array" aca="1" ref="AB65" ca="1">Ver_flag_local</f>
        <v>#VALUE!</v>
      </c>
      <c r="AC65" s="53">
        <v>2</v>
      </c>
      <c r="AD65" s="54">
        <v>2</v>
      </c>
      <c r="AE65" s="596" t="e" cm="1" vm="29">
        <f t="array" aca="1" ref="AE65" ca="1">Ver_flag_visit</f>
        <v>#VALUE!</v>
      </c>
      <c r="AF65" s="33" t="str">
        <f ca="1">A61</f>
        <v>Spain</v>
      </c>
      <c r="AG65" s="323">
        <f t="shared" si="212"/>
        <v>1</v>
      </c>
      <c r="AH65" s="195">
        <v>66</v>
      </c>
      <c r="AI65" s="181" t="str">
        <f t="shared" si="216"/>
        <v>4H</v>
      </c>
      <c r="AJ65" s="44">
        <v>4</v>
      </c>
      <c r="AK65" s="604" t="e" cm="1" vm="30">
        <f t="array" aca="1" ref="AK65" ca="1">Ver_flag_visit</f>
        <v>#VALUE!</v>
      </c>
      <c r="AL65" s="45" t="str">
        <f ca="1">IFERROR(INDEX($BD$6:$BD$53,MATCH(AI65,$BN$6:$BN$53,0)),"")</f>
        <v>Cape Verde</v>
      </c>
      <c r="AM65" s="46">
        <f t="shared" ca="1" si="215"/>
        <v>0</v>
      </c>
      <c r="AN65" s="47">
        <f t="shared" ca="1" si="215"/>
        <v>3</v>
      </c>
      <c r="AO65" s="47">
        <f t="shared" ca="1" si="215"/>
        <v>0</v>
      </c>
      <c r="AP65" s="47">
        <f t="shared" ca="1" si="215"/>
        <v>0</v>
      </c>
      <c r="AQ65" s="47">
        <f t="shared" ca="1" si="215"/>
        <v>3</v>
      </c>
      <c r="AR65" s="47">
        <f t="shared" ca="1" si="215"/>
        <v>1</v>
      </c>
      <c r="AS65" s="47">
        <f t="shared" ca="1" si="215"/>
        <v>7</v>
      </c>
      <c r="AT65" s="48">
        <f t="shared" ca="1" si="215"/>
        <v>-6</v>
      </c>
      <c r="AU65" s="330">
        <f ca="1">INDEX($DL$6:$DL$53,MATCH(AI65,$DP$6:$DP$53,0))</f>
        <v>1</v>
      </c>
      <c r="AV65" s="182" t="str">
        <f ca="1">INDEX($BD$6:$BD$53,MATCH(AI65,$BM$6:$BM$53,0))</f>
        <v>Cape Verde</v>
      </c>
      <c r="AW65" s="210">
        <v>3</v>
      </c>
      <c r="AX65" s="171"/>
      <c r="AY65" s="205" t="str">
        <f ca="1">+A64</f>
        <v>Uruguay</v>
      </c>
      <c r="AZ65" s="206"/>
      <c r="BA65" s="176"/>
      <c r="BB65" s="16" t="str">
        <f t="shared" si="187"/>
        <v>3H</v>
      </c>
      <c r="BC65" s="16" t="s">
        <v>140</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2</v>
      </c>
      <c r="BK65" s="16">
        <f t="shared" ca="1" si="173"/>
        <v>6</v>
      </c>
      <c r="BL65" s="16">
        <f t="shared" ca="1" si="190"/>
        <v>-4</v>
      </c>
      <c r="BM65" s="16">
        <f t="shared" ca="1" si="191"/>
        <v>10</v>
      </c>
      <c r="BN65" s="16">
        <f t="shared" ca="1" si="192"/>
        <v>10</v>
      </c>
      <c r="BO65" s="16" t="str">
        <f t="shared" si="174"/>
        <v>4H</v>
      </c>
      <c r="BP65" s="16"/>
      <c r="BQ65" s="16"/>
      <c r="BR65" s="16">
        <f t="shared" ca="1" si="175"/>
        <v>3</v>
      </c>
      <c r="BS65" s="16">
        <f t="shared" ca="1" si="193"/>
        <v>2</v>
      </c>
      <c r="BT65" s="16" t="str">
        <f t="shared" ca="1" si="194"/>
        <v>Pos. 2 (9)</v>
      </c>
      <c r="BU65" s="16">
        <f t="shared" ca="1" si="176"/>
        <v>-4</v>
      </c>
      <c r="BV65" s="16">
        <f t="shared" ca="1" si="177"/>
        <v>10</v>
      </c>
      <c r="BW65" s="16" t="str">
        <f t="shared" ca="1" si="178"/>
        <v>-</v>
      </c>
      <c r="BX65" s="16" t="str">
        <f t="shared" ca="1" si="179"/>
        <v>-</v>
      </c>
      <c r="BY65" s="16">
        <f t="shared" ca="1" si="180"/>
        <v>10</v>
      </c>
      <c r="BZ65" s="16" t="str">
        <f t="shared" ca="1" si="181"/>
        <v>-</v>
      </c>
      <c r="CA65" s="16" t="str">
        <f t="shared" ca="1" si="182"/>
        <v>-</v>
      </c>
      <c r="CB65" s="16">
        <f t="shared" ca="1" si="195"/>
        <v>10</v>
      </c>
      <c r="CC65" s="16"/>
      <c r="CD65" s="16">
        <f t="shared" ca="1" si="183"/>
        <v>10</v>
      </c>
      <c r="CE65" s="16" t="str">
        <f t="shared" ca="1" si="196"/>
        <v>-</v>
      </c>
      <c r="CF65" s="16">
        <f t="shared" ca="1" si="197"/>
        <v>10</v>
      </c>
      <c r="DJ65" s="16">
        <f t="shared" ca="1" si="184"/>
        <v>8</v>
      </c>
      <c r="DK65" s="16"/>
      <c r="DL65" s="16">
        <f t="shared" ca="1" si="185"/>
        <v>1</v>
      </c>
      <c r="DM65" s="16" t="str">
        <f t="shared" ca="1" si="186"/>
        <v>8.1</v>
      </c>
      <c r="DN65" s="16" cm="1">
        <f t="array" aca="1" ref="DN65" ca="1">OFFSET(Horarios!$P$3,DJ65-1,0,DL65,1)</f>
        <v>8</v>
      </c>
      <c r="DO65" s="16"/>
      <c r="DP65" s="16">
        <v>8</v>
      </c>
      <c r="DQ65" s="16" t="str">
        <f t="shared" ca="1" si="198"/>
        <v>South Korea</v>
      </c>
    </row>
    <row r="66" spans="1:121" ht="15.95"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141</v>
      </c>
      <c r="BD66" s="16" t="str">
        <f t="shared" ca="1" si="168"/>
        <v>Norway</v>
      </c>
      <c r="BE66" s="16">
        <f t="shared" ca="1" si="188"/>
        <v>3</v>
      </c>
      <c r="BF66" s="16">
        <f t="shared" ca="1" si="189"/>
        <v>3</v>
      </c>
      <c r="BG66" s="16">
        <f t="shared" ca="1" si="169"/>
        <v>1</v>
      </c>
      <c r="BH66" s="16">
        <f t="shared" ca="1" si="170"/>
        <v>0</v>
      </c>
      <c r="BI66" s="16">
        <f t="shared" ca="1" si="171"/>
        <v>2</v>
      </c>
      <c r="BJ66" s="16">
        <f t="shared" ca="1" si="172"/>
        <v>4</v>
      </c>
      <c r="BK66" s="16">
        <f t="shared" ca="1" si="173"/>
        <v>5</v>
      </c>
      <c r="BL66" s="16">
        <f t="shared" ca="1" si="190"/>
        <v>-1</v>
      </c>
      <c r="BM66" s="16">
        <f t="shared" ca="1" si="191"/>
        <v>5</v>
      </c>
      <c r="BN66" s="16">
        <f t="shared" ca="1" si="192"/>
        <v>5</v>
      </c>
      <c r="BO66" s="16" t="str">
        <f t="shared" si="174"/>
        <v>4I</v>
      </c>
      <c r="BP66" s="16"/>
      <c r="BQ66" s="16"/>
      <c r="BR66" s="16">
        <f t="shared" ca="1" si="175"/>
        <v>3</v>
      </c>
      <c r="BS66" s="16">
        <f t="shared" ca="1" si="193"/>
        <v>2</v>
      </c>
      <c r="BT66" s="16" t="str">
        <f t="shared" ca="1" si="194"/>
        <v>Pos. 2 (9)</v>
      </c>
      <c r="BU66" s="16">
        <f t="shared" ca="1" si="176"/>
        <v>-1</v>
      </c>
      <c r="BV66" s="16">
        <f t="shared" ca="1" si="177"/>
        <v>4</v>
      </c>
      <c r="BW66" s="16" t="str">
        <f t="shared" ca="1" si="178"/>
        <v>Pos. 4 (2)</v>
      </c>
      <c r="BX66" s="16">
        <f t="shared" ca="1" si="179"/>
        <v>4</v>
      </c>
      <c r="BY66" s="16">
        <f t="shared" ca="1" si="180"/>
        <v>5</v>
      </c>
      <c r="BZ66" s="16" t="str">
        <f t="shared" ca="1" si="181"/>
        <v>-</v>
      </c>
      <c r="CA66" s="16" t="str">
        <f t="shared" ca="1" si="182"/>
        <v>-</v>
      </c>
      <c r="CB66" s="16">
        <f t="shared" ca="1" si="195"/>
        <v>5</v>
      </c>
      <c r="CC66" s="16"/>
      <c r="CD66" s="16">
        <f t="shared" ca="1" si="183"/>
        <v>5</v>
      </c>
      <c r="CE66" s="16" t="str">
        <f t="shared" ca="1" si="196"/>
        <v>-</v>
      </c>
      <c r="CF66" s="16">
        <f t="shared" ca="1" si="197"/>
        <v>5</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Algeria</v>
      </c>
    </row>
    <row r="67" spans="1:121" ht="15.95"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142</v>
      </c>
      <c r="BD67" s="16" t="str">
        <f t="shared" ca="1" si="168"/>
        <v>Algeria</v>
      </c>
      <c r="BE67" s="16">
        <f t="shared" ca="1" si="188"/>
        <v>3</v>
      </c>
      <c r="BF67" s="16">
        <f t="shared" ca="1" si="189"/>
        <v>3</v>
      </c>
      <c r="BG67" s="16">
        <f t="shared" ca="1" si="169"/>
        <v>1</v>
      </c>
      <c r="BH67" s="16">
        <f t="shared" ca="1" si="170"/>
        <v>0</v>
      </c>
      <c r="BI67" s="16">
        <f t="shared" ca="1" si="171"/>
        <v>2</v>
      </c>
      <c r="BJ67" s="16">
        <f t="shared" ca="1" si="172"/>
        <v>3</v>
      </c>
      <c r="BK67" s="16">
        <f t="shared" ca="1" si="173"/>
        <v>6</v>
      </c>
      <c r="BL67" s="16">
        <f t="shared" ca="1" si="190"/>
        <v>-3</v>
      </c>
      <c r="BM67" s="16">
        <f t="shared" ca="1" si="191"/>
        <v>9</v>
      </c>
      <c r="BN67" s="16">
        <f t="shared" ca="1" si="192"/>
        <v>9</v>
      </c>
      <c r="BO67" s="16" t="str">
        <f t="shared" si="174"/>
        <v>4J</v>
      </c>
      <c r="BP67" s="16"/>
      <c r="BQ67" s="16"/>
      <c r="BR67" s="16">
        <f t="shared" ca="1" si="175"/>
        <v>3</v>
      </c>
      <c r="BS67" s="16">
        <f t="shared" ca="1" si="193"/>
        <v>2</v>
      </c>
      <c r="BT67" s="16" t="str">
        <f t="shared" ca="1" si="194"/>
        <v>Pos. 2 (9)</v>
      </c>
      <c r="BU67" s="16">
        <f t="shared" ca="1" si="176"/>
        <v>-3</v>
      </c>
      <c r="BV67" s="16">
        <f t="shared" ca="1" si="177"/>
        <v>9</v>
      </c>
      <c r="BW67" s="16" t="str">
        <f t="shared" ca="1" si="178"/>
        <v>-</v>
      </c>
      <c r="BX67" s="16" t="str">
        <f t="shared" ca="1" si="179"/>
        <v>-</v>
      </c>
      <c r="BY67" s="16">
        <f t="shared" ca="1" si="180"/>
        <v>9</v>
      </c>
      <c r="BZ67" s="16" t="str">
        <f t="shared" ca="1" si="181"/>
        <v>-</v>
      </c>
      <c r="CA67" s="16" t="str">
        <f t="shared" ca="1" si="182"/>
        <v>-</v>
      </c>
      <c r="CB67" s="16">
        <f t="shared" ca="1" si="195"/>
        <v>9</v>
      </c>
      <c r="CC67" s="16"/>
      <c r="CD67" s="16">
        <f t="shared" ca="1" si="183"/>
        <v>9</v>
      </c>
      <c r="CE67" s="16" t="str">
        <f t="shared" ca="1" si="196"/>
        <v>-</v>
      </c>
      <c r="CF67" s="16">
        <f t="shared" ca="1" si="197"/>
        <v>9</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Saudi Arabia</v>
      </c>
    </row>
    <row r="68" spans="1:121" ht="15.95" customHeight="1" thickBot="1">
      <c r="A68" s="16" t="s">
        <v>29</v>
      </c>
      <c r="B68" s="16" t="s">
        <v>141</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v>
      </c>
      <c r="G68" s="16"/>
      <c r="H68" s="16" t="str">
        <f t="shared" ref="H68:H73" ca="1" si="220">IF(D68="Pendiente","-",INDEX($BZ$6:$BZ$53,MATCH($AA68,$BD$6:$BD$53,0)))</f>
        <v>-</v>
      </c>
      <c r="I68" s="16" t="str">
        <f t="shared" ref="I68:I73" ca="1" si="221">IF(D68="Pendiente","-",INDEX($BZ$6:$BZ$53,MATCH($AF68,$BD$6:$BD$53,0)))</f>
        <v>-</v>
      </c>
      <c r="J68" s="16"/>
      <c r="K68" s="16" t="str">
        <f t="shared" ref="K68:K73" ca="1" si="222">IF(D68="Pendiente","-",INDEX($CE$6:$CE$53,MATCH($AA68,$BD$6:$BD$53,0)))</f>
        <v>-</v>
      </c>
      <c r="L68" s="16" t="str">
        <f t="shared" ref="L68:L73" ca="1" si="223">IF(D68="Pendiente","-",INDEX($CE$6:$CE$53,MATCH($AF68,$BD$6:$BD$53,0)))</f>
        <v>-</v>
      </c>
      <c r="M68" s="16"/>
      <c r="N68" s="16" t="str">
        <f t="shared" ref="N68:N73" ca="1" si="224">IF(D68="Pendiente","-",INDEX($CH$6:$CH$53,MATCH($AA68,$BD$6:$BD$53,0)))</f>
        <v>-</v>
      </c>
      <c r="O68" s="16" t="str">
        <f t="shared" ref="O68:O73" ca="1" si="225">IF(D68="Pendiente","-",INDEX($CH$6:$CH$53,MATCH($AF68,$BD$6:$BD$53,0)))</f>
        <v>-</v>
      </c>
      <c r="P68" s="16"/>
      <c r="Q68" s="16" t="str">
        <f t="shared" ref="Q68:Q73" ca="1" si="226">IF(D68="Pendiente","-",INDEX($CN$6:$CN$53,MATCH($AA68,$BD$6:$BD$53,0)))</f>
        <v>-</v>
      </c>
      <c r="R68" s="16" t="str">
        <f t="shared" ref="R68:R73" ca="1" si="227">IF(D68="Pendiente","-",INDEX($CN$6:$CN$53,MATCH($AF68,$BD$6:$BD$53,0)))</f>
        <v>-</v>
      </c>
      <c r="S68" s="16"/>
      <c r="T68" s="16" t="str">
        <f t="shared" ref="T68:T73" ca="1" si="228">IF(D68="Pendiente","-",INDEX($CS$6:$CS$53,MATCH($AA68,$BD$6:$BD$53,0)))</f>
        <v>-</v>
      </c>
      <c r="U68" s="16" t="str">
        <f t="shared" ref="U68:U73" ca="1" si="229">IF(D68="Pendiente","-",INDEX($CS$6:$CS$53,MATCH($AF68,$BD$6:$BD$53,0)))</f>
        <v>-</v>
      </c>
      <c r="V68" s="17"/>
      <c r="W68" s="654" t="s">
        <v>141</v>
      </c>
      <c r="X68" s="24">
        <f ca="1">Horarios!C68</f>
        <v>46189.875</v>
      </c>
      <c r="Y68" s="25">
        <f ca="1">Horarios!C68</f>
        <v>46189.875</v>
      </c>
      <c r="Z68" s="26" t="str">
        <f>$Z$4</f>
        <v>R1</v>
      </c>
      <c r="AA68" s="27" t="str">
        <f ca="1">A69</f>
        <v>France</v>
      </c>
      <c r="AB68" s="49" t="e" cm="1" vm="33">
        <f t="array" aca="1" ref="AB68" ca="1">Ver_flag_local</f>
        <v>#VALUE!</v>
      </c>
      <c r="AC68" s="50">
        <v>3</v>
      </c>
      <c r="AD68" s="51">
        <v>1</v>
      </c>
      <c r="AE68" s="595" t="e" cm="1" vm="34">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143</v>
      </c>
      <c r="BD68" s="16" t="str">
        <f t="shared" ca="1" si="168"/>
        <v>DR Congo</v>
      </c>
      <c r="BE68" s="16">
        <f t="shared" ca="1" si="188"/>
        <v>3</v>
      </c>
      <c r="BF68" s="16">
        <f t="shared" ca="1" si="189"/>
        <v>3</v>
      </c>
      <c r="BG68" s="16">
        <f t="shared" ca="1" si="169"/>
        <v>1</v>
      </c>
      <c r="BH68" s="16">
        <f t="shared" ca="1" si="170"/>
        <v>0</v>
      </c>
      <c r="BI68" s="16">
        <f t="shared" ca="1" si="171"/>
        <v>2</v>
      </c>
      <c r="BJ68" s="16">
        <f t="shared" ca="1" si="172"/>
        <v>4</v>
      </c>
      <c r="BK68" s="16">
        <f t="shared" ca="1" si="173"/>
        <v>6</v>
      </c>
      <c r="BL68" s="16">
        <f t="shared" ca="1" si="190"/>
        <v>-2</v>
      </c>
      <c r="BM68" s="16">
        <f t="shared" ca="1" si="191"/>
        <v>6</v>
      </c>
      <c r="BN68" s="16">
        <f t="shared" ca="1" si="192"/>
        <v>6</v>
      </c>
      <c r="BO68" s="16" t="str">
        <f t="shared" si="174"/>
        <v>4K</v>
      </c>
      <c r="BP68" s="16"/>
      <c r="BQ68" s="16"/>
      <c r="BR68" s="16">
        <f t="shared" ca="1" si="175"/>
        <v>3</v>
      </c>
      <c r="BS68" s="16">
        <f t="shared" ca="1" si="193"/>
        <v>2</v>
      </c>
      <c r="BT68" s="16" t="str">
        <f t="shared" ca="1" si="194"/>
        <v>Pos. 2 (9)</v>
      </c>
      <c r="BU68" s="16">
        <f t="shared" ca="1" si="176"/>
        <v>-2</v>
      </c>
      <c r="BV68" s="16">
        <f t="shared" ca="1" si="177"/>
        <v>6</v>
      </c>
      <c r="BW68" s="16" t="str">
        <f t="shared" ca="1" si="178"/>
        <v>Pos. 6 (3)</v>
      </c>
      <c r="BX68" s="16">
        <f t="shared" ca="1" si="179"/>
        <v>4</v>
      </c>
      <c r="BY68" s="16">
        <f t="shared" ca="1" si="180"/>
        <v>6</v>
      </c>
      <c r="BZ68" s="16" t="str">
        <f t="shared" ca="1" si="181"/>
        <v>-</v>
      </c>
      <c r="CA68" s="16" t="str">
        <f t="shared" ca="1" si="182"/>
        <v>-</v>
      </c>
      <c r="CB68" s="16">
        <f t="shared" ca="1" si="195"/>
        <v>6</v>
      </c>
      <c r="CC68" s="16"/>
      <c r="CD68" s="16">
        <f t="shared" ca="1" si="183"/>
        <v>6</v>
      </c>
      <c r="CE68" s="16" t="str">
        <f t="shared" ca="1" si="196"/>
        <v>-</v>
      </c>
      <c r="CF68" s="16">
        <f t="shared" ca="1" si="197"/>
        <v>6</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Tunisia</v>
      </c>
    </row>
    <row r="69" spans="1:121" ht="15.95" customHeight="1">
      <c r="A69" s="16" t="str">
        <f ca="1">+Equipos!B34</f>
        <v>France</v>
      </c>
      <c r="B69" s="16"/>
      <c r="C69" s="16"/>
      <c r="D69" s="16" t="str">
        <f t="shared" si="217"/>
        <v>Visitante</v>
      </c>
      <c r="E69" s="16" t="str">
        <f t="shared" ca="1" si="218"/>
        <v>-</v>
      </c>
      <c r="F69" s="16" t="str">
        <f t="shared" ca="1" si="219"/>
        <v>-</v>
      </c>
      <c r="G69" s="16"/>
      <c r="H69" s="16" t="str">
        <f t="shared" ca="1" si="220"/>
        <v>-</v>
      </c>
      <c r="I69" s="16" t="str">
        <f t="shared" ca="1" si="221"/>
        <v>-</v>
      </c>
      <c r="J69" s="16"/>
      <c r="K69" s="16" t="str">
        <f t="shared" ca="1" si="222"/>
        <v>-</v>
      </c>
      <c r="L69" s="16" t="str">
        <f t="shared" ca="1" si="223"/>
        <v>-</v>
      </c>
      <c r="M69" s="16"/>
      <c r="N69" s="16" t="str">
        <f t="shared" ca="1" si="224"/>
        <v>-</v>
      </c>
      <c r="O69" s="16" t="str">
        <f t="shared" ca="1" si="225"/>
        <v>-</v>
      </c>
      <c r="P69" s="16"/>
      <c r="Q69" s="16" t="str">
        <f t="shared" ca="1" si="226"/>
        <v>-</v>
      </c>
      <c r="R69" s="16" t="str">
        <f t="shared" ca="1" si="227"/>
        <v>-</v>
      </c>
      <c r="S69" s="16"/>
      <c r="T69" s="16" t="str">
        <f t="shared" ca="1" si="228"/>
        <v>-</v>
      </c>
      <c r="U69" s="16" t="str">
        <f t="shared" ca="1" si="229"/>
        <v>-</v>
      </c>
      <c r="V69" s="17"/>
      <c r="W69" s="654"/>
      <c r="X69" s="24">
        <f ca="1">Horarios!C69</f>
        <v>46190</v>
      </c>
      <c r="Y69" s="25">
        <f ca="1">Horarios!C69</f>
        <v>46190</v>
      </c>
      <c r="Z69" s="26" t="str">
        <f>$Z$4</f>
        <v>R1</v>
      </c>
      <c r="AA69" s="27" t="str">
        <f ca="1">A71</f>
        <v>Iraq</v>
      </c>
      <c r="AB69" s="49" t="e" cm="1" vm="35">
        <f t="array" aca="1" ref="AB69" ca="1">Ver_flag_local</f>
        <v>#VALUE!</v>
      </c>
      <c r="AC69" s="50">
        <v>0</v>
      </c>
      <c r="AD69" s="51">
        <v>3</v>
      </c>
      <c r="AE69" s="595" t="e" cm="1" vm="36">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144</v>
      </c>
      <c r="BD69" s="16" t="str">
        <f t="shared" ca="1" si="168"/>
        <v>Croatia</v>
      </c>
      <c r="BE69" s="16">
        <f t="shared" ca="1" si="188"/>
        <v>3</v>
      </c>
      <c r="BF69" s="16">
        <f t="shared" ca="1" si="189"/>
        <v>3</v>
      </c>
      <c r="BG69" s="16">
        <f t="shared" ca="1" si="169"/>
        <v>1</v>
      </c>
      <c r="BH69" s="16">
        <f t="shared" ca="1" si="170"/>
        <v>0</v>
      </c>
      <c r="BI69" s="16">
        <f t="shared" ca="1" si="171"/>
        <v>2</v>
      </c>
      <c r="BJ69" s="16">
        <f t="shared" ca="1" si="172"/>
        <v>5</v>
      </c>
      <c r="BK69" s="16">
        <f t="shared" ca="1" si="173"/>
        <v>6</v>
      </c>
      <c r="BL69" s="16">
        <f t="shared" ca="1" si="190"/>
        <v>-1</v>
      </c>
      <c r="BM69" s="16">
        <f t="shared" ca="1" si="191"/>
        <v>4</v>
      </c>
      <c r="BN69" s="16">
        <f t="shared" ca="1" si="192"/>
        <v>4</v>
      </c>
      <c r="BO69" s="16" t="str">
        <f t="shared" si="174"/>
        <v>4L</v>
      </c>
      <c r="BP69" s="16"/>
      <c r="BQ69" s="16"/>
      <c r="BR69" s="16">
        <f t="shared" ca="1" si="175"/>
        <v>3</v>
      </c>
      <c r="BS69" s="16">
        <f t="shared" ca="1" si="193"/>
        <v>2</v>
      </c>
      <c r="BT69" s="16" t="str">
        <f t="shared" ca="1" si="194"/>
        <v>Pos. 2 (9)</v>
      </c>
      <c r="BU69" s="16">
        <f t="shared" ca="1" si="176"/>
        <v>-1</v>
      </c>
      <c r="BV69" s="16">
        <f t="shared" ca="1" si="177"/>
        <v>4</v>
      </c>
      <c r="BW69" s="16" t="str">
        <f t="shared" ca="1" si="178"/>
        <v>Pos. 4 (2)</v>
      </c>
      <c r="BX69" s="16">
        <f t="shared" ca="1" si="179"/>
        <v>5</v>
      </c>
      <c r="BY69" s="16">
        <f t="shared" ca="1" si="180"/>
        <v>4</v>
      </c>
      <c r="BZ69" s="16" t="str">
        <f t="shared" ca="1" si="181"/>
        <v>-</v>
      </c>
      <c r="CA69" s="16" t="str">
        <f t="shared" ca="1" si="182"/>
        <v>-</v>
      </c>
      <c r="CB69" s="16">
        <f ca="1">BY69+COUNTIFS(BZ$58:BZ$69,BZ69,CA$58:CA$69,"&gt;"&amp;CA69)</f>
        <v>4</v>
      </c>
      <c r="CC69" s="16"/>
      <c r="CD69" s="16">
        <f t="shared" ca="1" si="183"/>
        <v>4</v>
      </c>
      <c r="CE69" s="16" t="str">
        <f t="shared" ca="1" si="196"/>
        <v>-</v>
      </c>
      <c r="CF69" s="16">
        <f t="shared" ca="1" si="197"/>
        <v>4</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Australia</v>
      </c>
    </row>
    <row r="70" spans="1:121" ht="15.95" customHeight="1">
      <c r="A70" s="16" t="str">
        <f ca="1">+Equipos!B35</f>
        <v>Senegal</v>
      </c>
      <c r="B70" s="16"/>
      <c r="C70" s="16"/>
      <c r="D70" s="16" t="str">
        <f t="shared" si="217"/>
        <v>Local</v>
      </c>
      <c r="E70" s="16" t="str">
        <f t="shared" ca="1" si="218"/>
        <v>-</v>
      </c>
      <c r="F70" s="16" t="str">
        <f t="shared" ca="1" si="219"/>
        <v>-</v>
      </c>
      <c r="G70" s="16"/>
      <c r="H70" s="16" t="str">
        <f t="shared" ca="1" si="220"/>
        <v>-</v>
      </c>
      <c r="I70" s="16" t="str">
        <f t="shared" ca="1" si="221"/>
        <v>-</v>
      </c>
      <c r="J70" s="16"/>
      <c r="K70" s="16" t="str">
        <f t="shared" ca="1" si="222"/>
        <v>-</v>
      </c>
      <c r="L70" s="16" t="str">
        <f t="shared" ca="1" si="223"/>
        <v>-</v>
      </c>
      <c r="M70" s="16"/>
      <c r="N70" s="16" t="str">
        <f t="shared" ca="1" si="224"/>
        <v>-</v>
      </c>
      <c r="O70" s="16" t="str">
        <f t="shared" ca="1" si="225"/>
        <v>-</v>
      </c>
      <c r="P70" s="16"/>
      <c r="Q70" s="16" t="str">
        <f t="shared" ca="1" si="226"/>
        <v>-</v>
      </c>
      <c r="R70" s="16" t="str">
        <f t="shared" ca="1" si="227"/>
        <v>-</v>
      </c>
      <c r="S70" s="16"/>
      <c r="T70" s="16" t="str">
        <f t="shared" ca="1" si="228"/>
        <v>-</v>
      </c>
      <c r="U70" s="16" t="str">
        <f t="shared" ca="1" si="229"/>
        <v>-</v>
      </c>
      <c r="V70" s="17"/>
      <c r="W70" s="654"/>
      <c r="X70" s="24">
        <f ca="1">Horarios!C70</f>
        <v>46195.958333333336</v>
      </c>
      <c r="Y70" s="25">
        <f ca="1">Horarios!C70</f>
        <v>46195.958333333336</v>
      </c>
      <c r="Z70" s="26" t="str">
        <f>$Z$6</f>
        <v>R2</v>
      </c>
      <c r="AA70" s="27" t="str">
        <f ca="1">A69</f>
        <v>France</v>
      </c>
      <c r="AB70" s="49" t="e" cm="1" vm="33">
        <f t="array" aca="1" ref="AB70" ca="1">Ver_flag_local</f>
        <v>#VALUE!</v>
      </c>
      <c r="AC70" s="50">
        <v>3</v>
      </c>
      <c r="AD70" s="51">
        <v>0</v>
      </c>
      <c r="AE70" s="595" t="e" cm="1" vm="35">
        <f t="array" aca="1" ref="AE70" ca="1">Ver_flag_visit</f>
        <v>#VALUE!</v>
      </c>
      <c r="AF70" s="32" t="str">
        <f ca="1">A71</f>
        <v>Iraq</v>
      </c>
      <c r="AG70" s="323">
        <f t="shared" si="230"/>
        <v>1</v>
      </c>
      <c r="AH70" s="195">
        <v>42</v>
      </c>
      <c r="AI70" s="181" t="str">
        <f>AJ70&amp;$B$68</f>
        <v>1I</v>
      </c>
      <c r="AJ70" s="40">
        <v>1</v>
      </c>
      <c r="AK70" s="601" t="e" cm="1" vm="33">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8</v>
      </c>
      <c r="AS70" s="36">
        <f t="shared" ca="1" si="233"/>
        <v>1</v>
      </c>
      <c r="AT70" s="41">
        <f t="shared" ca="1" si="233"/>
        <v>7</v>
      </c>
      <c r="AU70" s="330">
        <f ca="1">INDEX($DL$6:$DL$53,MATCH(AI70,$DP$6:$DP$53,0))</f>
        <v>1</v>
      </c>
      <c r="AV70" s="182" t="str">
        <f ca="1">INDEX($BD$6:$BD$53,MATCH(AI70,$BM$6:$BM$53,0))</f>
        <v>France</v>
      </c>
      <c r="AW70" s="210"/>
      <c r="AX70" s="171"/>
      <c r="AY70" s="201" t="str">
        <f ca="1">+A69</f>
        <v>France</v>
      </c>
      <c r="AZ70" s="202"/>
      <c r="BA70" s="176"/>
      <c r="DN70" s="16"/>
    </row>
    <row r="71" spans="1:121" ht="15.95" customHeight="1">
      <c r="A71" s="16" t="str">
        <f ca="1">+Equipos!B36</f>
        <v>Iraq</v>
      </c>
      <c r="B71" s="16"/>
      <c r="C71" s="16"/>
      <c r="D71" s="16" t="str">
        <f t="shared" si="217"/>
        <v>Visitante</v>
      </c>
      <c r="E71" s="16" t="str">
        <f t="shared" ca="1" si="218"/>
        <v>-</v>
      </c>
      <c r="F71" s="16" t="str">
        <f t="shared" ca="1" si="219"/>
        <v>-</v>
      </c>
      <c r="G71" s="16"/>
      <c r="H71" s="16" t="str">
        <f t="shared" ca="1" si="220"/>
        <v>-</v>
      </c>
      <c r="I71" s="16" t="str">
        <f t="shared" ca="1" si="221"/>
        <v>-</v>
      </c>
      <c r="J71" s="16"/>
      <c r="K71" s="16" t="str">
        <f t="shared" ca="1" si="222"/>
        <v>-</v>
      </c>
      <c r="L71" s="16" t="str">
        <f t="shared" ca="1" si="223"/>
        <v>-</v>
      </c>
      <c r="M71" s="16"/>
      <c r="N71" s="16" t="str">
        <f t="shared" ca="1" si="224"/>
        <v>-</v>
      </c>
      <c r="O71" s="16" t="str">
        <f t="shared" ca="1" si="225"/>
        <v>-</v>
      </c>
      <c r="P71" s="16"/>
      <c r="Q71" s="16" t="str">
        <f t="shared" ca="1" si="226"/>
        <v>-</v>
      </c>
      <c r="R71" s="16" t="str">
        <f t="shared" ca="1" si="227"/>
        <v>-</v>
      </c>
      <c r="S71" s="16"/>
      <c r="T71" s="16" t="str">
        <f t="shared" ca="1" si="228"/>
        <v>-</v>
      </c>
      <c r="U71" s="16" t="str">
        <f t="shared" ca="1" si="229"/>
        <v>-</v>
      </c>
      <c r="V71" s="17"/>
      <c r="W71" s="654"/>
      <c r="X71" s="24">
        <f ca="1">Horarios!C71</f>
        <v>46196.083333333336</v>
      </c>
      <c r="Y71" s="25">
        <f ca="1">Horarios!C71</f>
        <v>46196.083333333336</v>
      </c>
      <c r="Z71" s="26" t="str">
        <f>$Z$6</f>
        <v>R2</v>
      </c>
      <c r="AA71" s="27" t="str">
        <f ca="1">A72</f>
        <v>Norway</v>
      </c>
      <c r="AB71" s="49" t="e" cm="1" vm="36">
        <f t="array" aca="1" ref="AB71" ca="1">Ver_flag_local</f>
        <v>#VALUE!</v>
      </c>
      <c r="AC71" s="50">
        <v>1</v>
      </c>
      <c r="AD71" s="51">
        <v>3</v>
      </c>
      <c r="AE71" s="595" t="e" cm="1" vm="34">
        <f t="array" aca="1" ref="AE71" ca="1">Ver_flag_visit</f>
        <v>#VALUE!</v>
      </c>
      <c r="AF71" s="32" t="str">
        <f ca="1">A70</f>
        <v>Senegal</v>
      </c>
      <c r="AG71" s="323">
        <f t="shared" si="230"/>
        <v>1</v>
      </c>
      <c r="AH71" s="195">
        <v>41</v>
      </c>
      <c r="AI71" s="181" t="str">
        <f t="shared" ref="AI71:AI73" si="234">AJ71&amp;$B$68</f>
        <v>2I</v>
      </c>
      <c r="AJ71" s="42">
        <v>2</v>
      </c>
      <c r="AK71" s="602" t="e" cm="1" vm="34">
        <f t="array" aca="1" ref="AK71" ca="1">Ver_flag_visit</f>
        <v>#VALUE!</v>
      </c>
      <c r="AL71" s="37" t="str">
        <f ca="1">IFERROR(INDEX($BD$6:$BD$53,MATCH(AI71,$BN$6:$BN$53,0)),"")</f>
        <v>Senegal</v>
      </c>
      <c r="AM71" s="38">
        <f t="shared" ca="1" si="233"/>
        <v>6</v>
      </c>
      <c r="AN71" s="39">
        <f t="shared" ca="1" si="233"/>
        <v>3</v>
      </c>
      <c r="AO71" s="39">
        <f t="shared" ca="1" si="233"/>
        <v>2</v>
      </c>
      <c r="AP71" s="39">
        <f t="shared" ca="1" si="233"/>
        <v>0</v>
      </c>
      <c r="AQ71" s="39">
        <f t="shared" ca="1" si="233"/>
        <v>1</v>
      </c>
      <c r="AR71" s="39">
        <f t="shared" ca="1" si="233"/>
        <v>7</v>
      </c>
      <c r="AS71" s="39">
        <f t="shared" ca="1" si="233"/>
        <v>4</v>
      </c>
      <c r="AT71" s="43">
        <f t="shared" ca="1" si="233"/>
        <v>3</v>
      </c>
      <c r="AU71" s="330">
        <f ca="1">INDEX($DL$6:$DL$53,MATCH(AI71,$DP$6:$DP$53,0))</f>
        <v>1</v>
      </c>
      <c r="AV71" s="182" t="str">
        <f ca="1">INDEX($BD$6:$BD$53,MATCH(AI71,$BM$6:$BM$53,0))</f>
        <v>Senegal</v>
      </c>
      <c r="AW71" s="210"/>
      <c r="AX71" s="171"/>
      <c r="AY71" s="203" t="str">
        <f ca="1">+A70</f>
        <v>Senegal</v>
      </c>
      <c r="AZ71" s="204"/>
      <c r="BA71" s="176"/>
      <c r="DN71" s="16"/>
    </row>
    <row r="72" spans="1:121" ht="15.95"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54"/>
      <c r="X72" s="24">
        <f ca="1">Horarios!C72</f>
        <v>46199.875</v>
      </c>
      <c r="Y72" s="25">
        <f ca="1">Horarios!C72</f>
        <v>46199.875</v>
      </c>
      <c r="Z72" s="26" t="str">
        <f>$Z$8</f>
        <v>R3</v>
      </c>
      <c r="AA72" s="27" t="str">
        <f ca="1">A72</f>
        <v>Norway</v>
      </c>
      <c r="AB72" s="49" t="e" cm="1" vm="36">
        <f t="array" aca="1" ref="AB72" ca="1">Ver_flag_local</f>
        <v>#VALUE!</v>
      </c>
      <c r="AC72" s="50">
        <v>0</v>
      </c>
      <c r="AD72" s="51">
        <v>2</v>
      </c>
      <c r="AE72" s="595" t="e" cm="1" vm="33">
        <f t="array" aca="1" ref="AE72" ca="1">Ver_flag_visit</f>
        <v>#VALUE!</v>
      </c>
      <c r="AF72" s="32" t="str">
        <f ca="1">A69</f>
        <v>France</v>
      </c>
      <c r="AG72" s="323">
        <f t="shared" si="230"/>
        <v>1</v>
      </c>
      <c r="AH72" s="195">
        <v>61</v>
      </c>
      <c r="AI72" s="181" t="str">
        <f t="shared" si="234"/>
        <v>3I</v>
      </c>
      <c r="AJ72" s="42">
        <v>3</v>
      </c>
      <c r="AK72" s="602" t="e" cm="1" vm="36">
        <f t="array" aca="1" ref="AK72" ca="1">Ver_flag_visit</f>
        <v>#VALUE!</v>
      </c>
      <c r="AL72" s="37" t="str">
        <f ca="1">IFERROR(INDEX($BD$6:$BD$53,MATCH(AI72,$BN$6:$BN$53,0)),"")</f>
        <v>Norway</v>
      </c>
      <c r="AM72" s="38">
        <f t="shared" ca="1" si="233"/>
        <v>3</v>
      </c>
      <c r="AN72" s="39">
        <f t="shared" ca="1" si="233"/>
        <v>3</v>
      </c>
      <c r="AO72" s="39">
        <f t="shared" ca="1" si="233"/>
        <v>1</v>
      </c>
      <c r="AP72" s="39">
        <f t="shared" ca="1" si="233"/>
        <v>0</v>
      </c>
      <c r="AQ72" s="39">
        <f t="shared" ca="1" si="233"/>
        <v>2</v>
      </c>
      <c r="AR72" s="39">
        <f t="shared" ca="1" si="233"/>
        <v>4</v>
      </c>
      <c r="AS72" s="39">
        <f t="shared" ca="1" si="233"/>
        <v>5</v>
      </c>
      <c r="AT72" s="43">
        <f t="shared" ca="1" si="233"/>
        <v>-1</v>
      </c>
      <c r="AU72" s="330">
        <f ca="1">INDEX($DL$6:$DL$53,MATCH(AI72,$DP$6:$DP$53,0))</f>
        <v>1</v>
      </c>
      <c r="AV72" s="182" t="str">
        <f ca="1">INDEX($BD$6:$BD$53,MATCH(AI72,$BM$6:$BM$53,0))</f>
        <v>Norway</v>
      </c>
      <c r="AW72" s="210"/>
      <c r="AX72" s="171"/>
      <c r="AY72" s="201" t="str">
        <f ca="1">+A71</f>
        <v>Iraq</v>
      </c>
      <c r="AZ72" s="202"/>
      <c r="BA72" s="176"/>
      <c r="DN72" s="16"/>
    </row>
    <row r="73" spans="1:121" ht="15.95" customHeight="1" thickBot="1">
      <c r="A73" s="16"/>
      <c r="B73" s="16"/>
      <c r="C73" s="16"/>
      <c r="D73" s="16" t="str">
        <f t="shared" si="217"/>
        <v>Local</v>
      </c>
      <c r="E73" s="16" t="str">
        <f t="shared" ca="1" si="218"/>
        <v>-</v>
      </c>
      <c r="F73" s="16" t="str">
        <f t="shared" ca="1" si="219"/>
        <v>-</v>
      </c>
      <c r="G73" s="16"/>
      <c r="H73" s="16" t="str">
        <f t="shared" ca="1" si="220"/>
        <v>-</v>
      </c>
      <c r="I73" s="16" t="str">
        <f t="shared" ca="1" si="221"/>
        <v>-</v>
      </c>
      <c r="J73" s="16"/>
      <c r="K73" s="16" t="str">
        <f t="shared" ca="1" si="222"/>
        <v>-</v>
      </c>
      <c r="L73" s="16" t="str">
        <f t="shared" ca="1" si="223"/>
        <v>-</v>
      </c>
      <c r="M73" s="16"/>
      <c r="N73" s="16" t="str">
        <f t="shared" ca="1" si="224"/>
        <v>-</v>
      </c>
      <c r="O73" s="16" t="str">
        <f t="shared" ca="1" si="225"/>
        <v>-</v>
      </c>
      <c r="P73" s="16"/>
      <c r="Q73" s="16" t="str">
        <f t="shared" ca="1" si="226"/>
        <v>-</v>
      </c>
      <c r="R73" s="16" t="str">
        <f t="shared" ca="1" si="227"/>
        <v>-</v>
      </c>
      <c r="S73" s="16"/>
      <c r="T73" s="16" t="str">
        <f t="shared" ca="1" si="228"/>
        <v>-</v>
      </c>
      <c r="U73" s="16" t="str">
        <f t="shared" ca="1" si="229"/>
        <v>-</v>
      </c>
      <c r="V73" s="17"/>
      <c r="W73" s="655"/>
      <c r="X73" s="28">
        <f ca="1">Horarios!C73</f>
        <v>46199.875</v>
      </c>
      <c r="Y73" s="29">
        <f ca="1">Horarios!C73</f>
        <v>46199.875</v>
      </c>
      <c r="Z73" s="30" t="str">
        <f>$Z$8</f>
        <v>R3</v>
      </c>
      <c r="AA73" s="31" t="str">
        <f ca="1">A70</f>
        <v>Senegal</v>
      </c>
      <c r="AB73" s="52" t="e" cm="1" vm="34">
        <f t="array" aca="1" ref="AB73" ca="1">Ver_flag_local</f>
        <v>#VALUE!</v>
      </c>
      <c r="AC73" s="53">
        <v>3</v>
      </c>
      <c r="AD73" s="54">
        <v>0</v>
      </c>
      <c r="AE73" s="596" t="e" cm="1" vm="35">
        <f t="array" aca="1" ref="AE73" ca="1">Ver_flag_visit</f>
        <v>#VALUE!</v>
      </c>
      <c r="AF73" s="33" t="str">
        <f ca="1">A71</f>
        <v>Iraq</v>
      </c>
      <c r="AG73" s="323">
        <f t="shared" si="230"/>
        <v>1</v>
      </c>
      <c r="AH73" s="195">
        <v>62</v>
      </c>
      <c r="AI73" s="181" t="str">
        <f t="shared" si="234"/>
        <v>4I</v>
      </c>
      <c r="AJ73" s="44">
        <v>4</v>
      </c>
      <c r="AK73" s="604" t="e" cm="1" vm="35">
        <f t="array" aca="1" ref="AK73" ca="1">Ver_flag_visit</f>
        <v>#VALUE!</v>
      </c>
      <c r="AL73" s="45" t="str">
        <f ca="1">IFERROR(INDEX($BD$6:$BD$53,MATCH(AI73,$BN$6:$BN$53,0)),"")</f>
        <v>Iraq</v>
      </c>
      <c r="AM73" s="46">
        <f t="shared" ca="1" si="233"/>
        <v>0</v>
      </c>
      <c r="AN73" s="47">
        <f t="shared" ca="1" si="233"/>
        <v>3</v>
      </c>
      <c r="AO73" s="47">
        <f t="shared" ca="1" si="233"/>
        <v>0</v>
      </c>
      <c r="AP73" s="47">
        <f t="shared" ca="1" si="233"/>
        <v>0</v>
      </c>
      <c r="AQ73" s="47">
        <f t="shared" ca="1" si="233"/>
        <v>3</v>
      </c>
      <c r="AR73" s="47">
        <f t="shared" ca="1" si="233"/>
        <v>0</v>
      </c>
      <c r="AS73" s="47">
        <f t="shared" ca="1" si="233"/>
        <v>9</v>
      </c>
      <c r="AT73" s="48">
        <f t="shared" ca="1" si="233"/>
        <v>-9</v>
      </c>
      <c r="AU73" s="330">
        <f ca="1">INDEX($DL$6:$DL$53,MATCH(AI73,$DP$6:$DP$53,0))</f>
        <v>1</v>
      </c>
      <c r="AV73" s="182" t="str">
        <f ca="1">INDEX($BD$6:$BD$53,MATCH(AI73,$BM$6:$BM$53,0))</f>
        <v>Iraq</v>
      </c>
      <c r="AW73" s="210"/>
      <c r="AX73" s="171"/>
      <c r="AY73" s="205" t="str">
        <f ca="1">+A72</f>
        <v>Norway</v>
      </c>
      <c r="AZ73" s="206"/>
      <c r="BA73" s="176"/>
      <c r="DN73" s="16"/>
    </row>
    <row r="74" spans="1:121" ht="15.95"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5"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5" customHeight="1" thickBot="1">
      <c r="A76" s="16" t="s">
        <v>29</v>
      </c>
      <c r="B76" s="16" t="s">
        <v>142</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v>
      </c>
      <c r="G76" s="16"/>
      <c r="H76" s="16" t="str">
        <f t="shared" ref="H76:H81" ca="1" si="238">IF(D76="Pendiente","-",INDEX($BZ$6:$BZ$53,MATCH($AA76,$BD$6:$BD$53,0)))</f>
        <v>-</v>
      </c>
      <c r="I76" s="16" t="str">
        <f t="shared" ref="I76:I81" ca="1" si="239">IF(D76="Pendiente","-",INDEX($BZ$6:$BZ$53,MATCH($AF76,$BD$6:$BD$53,0)))</f>
        <v>-</v>
      </c>
      <c r="J76" s="16"/>
      <c r="K76" s="16" t="str">
        <f t="shared" ref="K76:K81" ca="1" si="240">IF(D76="Pendiente","-",INDEX($CE$6:$CE$53,MATCH($AA76,$BD$6:$BD$53,0)))</f>
        <v>-</v>
      </c>
      <c r="L76" s="16" t="str">
        <f t="shared" ref="L76:L81" ca="1" si="241">IF(D76="Pendiente","-",INDEX($CE$6:$CE$53,MATCH($AF76,$BD$6:$BD$53,0)))</f>
        <v>-</v>
      </c>
      <c r="M76" s="16"/>
      <c r="N76" s="16" t="str">
        <f t="shared" ref="N76:N81" ca="1" si="242">IF(D76="Pendiente","-",INDEX($CH$6:$CH$53,MATCH($AA76,$BD$6:$BD$53,0)))</f>
        <v>-</v>
      </c>
      <c r="O76" s="16" t="str">
        <f t="shared" ref="O76:O81" ca="1" si="243">IF(D76="Pendiente","-",INDEX($CH$6:$CH$53,MATCH($AF76,$BD$6:$BD$53,0)))</f>
        <v>-</v>
      </c>
      <c r="P76" s="16"/>
      <c r="Q76" s="16" t="str">
        <f t="shared" ref="Q76:Q81" ca="1" si="244">IF(D76="Pendiente","-",INDEX($CN$6:$CN$53,MATCH($AA76,$BD$6:$BD$53,0)))</f>
        <v>-</v>
      </c>
      <c r="R76" s="16" t="str">
        <f t="shared" ref="R76:R81" ca="1" si="245">IF(D76="Pendiente","-",INDEX($CN$6:$CN$53,MATCH($AF76,$BD$6:$BD$53,0)))</f>
        <v>-</v>
      </c>
      <c r="S76" s="16"/>
      <c r="T76" s="16" t="str">
        <f t="shared" ref="T76:T81" ca="1" si="246">IF(D76="Pendiente","-",INDEX($CS$6:$CS$53,MATCH($AA76,$BD$6:$BD$53,0)))</f>
        <v>-</v>
      </c>
      <c r="U76" s="16" t="str">
        <f t="shared" ref="U76:U81" ca="1" si="247">IF(D76="Pendiente","-",INDEX($CS$6:$CS$53,MATCH($AF76,$BD$6:$BD$53,0)))</f>
        <v>-</v>
      </c>
      <c r="V76" s="17"/>
      <c r="W76" s="650" t="s">
        <v>142</v>
      </c>
      <c r="X76" s="24">
        <f ca="1">Horarios!C76</f>
        <v>46190.125</v>
      </c>
      <c r="Y76" s="25">
        <f ca="1">Horarios!C76</f>
        <v>46190.125</v>
      </c>
      <c r="Z76" s="26" t="str">
        <f>$Z$4</f>
        <v>R1</v>
      </c>
      <c r="AA76" s="27" t="str">
        <f ca="1">A77</f>
        <v>Argentina</v>
      </c>
      <c r="AB76" s="49" t="e" cm="1" vm="37">
        <f t="array" aca="1" ref="AB76" ca="1">Ver_flag_local</f>
        <v>#VALUE!</v>
      </c>
      <c r="AC76" s="50">
        <v>3</v>
      </c>
      <c r="AD76" s="51">
        <v>0</v>
      </c>
      <c r="AE76" s="595" t="e" cm="1" vm="38">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5" customHeight="1">
      <c r="A77" s="16" t="str">
        <f ca="1">+Equipos!B38</f>
        <v>Argentina</v>
      </c>
      <c r="B77" s="16"/>
      <c r="C77" s="16"/>
      <c r="D77" s="16" t="str">
        <f t="shared" si="235"/>
        <v>Local</v>
      </c>
      <c r="E77" s="16" t="str">
        <f t="shared" ca="1" si="236"/>
        <v>-</v>
      </c>
      <c r="F77" s="16" t="str">
        <f t="shared" ca="1" si="237"/>
        <v>-</v>
      </c>
      <c r="G77" s="16"/>
      <c r="H77" s="16" t="str">
        <f t="shared" ca="1" si="238"/>
        <v>-</v>
      </c>
      <c r="I77" s="16" t="str">
        <f t="shared" ca="1" si="239"/>
        <v>-</v>
      </c>
      <c r="J77" s="16"/>
      <c r="K77" s="16" t="str">
        <f t="shared" ca="1" si="240"/>
        <v>-</v>
      </c>
      <c r="L77" s="16" t="str">
        <f t="shared" ca="1" si="241"/>
        <v>-</v>
      </c>
      <c r="M77" s="16"/>
      <c r="N77" s="16" t="str">
        <f t="shared" ca="1" si="242"/>
        <v>-</v>
      </c>
      <c r="O77" s="16" t="str">
        <f t="shared" ca="1" si="243"/>
        <v>-</v>
      </c>
      <c r="P77" s="16"/>
      <c r="Q77" s="16" t="str">
        <f t="shared" ca="1" si="244"/>
        <v>-</v>
      </c>
      <c r="R77" s="16" t="str">
        <f t="shared" ca="1" si="245"/>
        <v>-</v>
      </c>
      <c r="S77" s="16"/>
      <c r="T77" s="16" t="str">
        <f t="shared" ca="1" si="246"/>
        <v>-</v>
      </c>
      <c r="U77" s="16" t="str">
        <f t="shared" ca="1" si="247"/>
        <v>-</v>
      </c>
      <c r="V77" s="17"/>
      <c r="W77" s="650"/>
      <c r="X77" s="24">
        <f ca="1">Horarios!C77</f>
        <v>46190.25</v>
      </c>
      <c r="Y77" s="25">
        <f ca="1">Horarios!C77</f>
        <v>46190.25</v>
      </c>
      <c r="Z77" s="26" t="str">
        <f>$Z$4</f>
        <v>R1</v>
      </c>
      <c r="AA77" s="27" t="str">
        <f ca="1">A79</f>
        <v>Austria</v>
      </c>
      <c r="AB77" s="49" t="e" cm="1" vm="39">
        <f t="array" aca="1" ref="AB77" ca="1">Ver_flag_local</f>
        <v>#VALUE!</v>
      </c>
      <c r="AC77" s="50">
        <v>2</v>
      </c>
      <c r="AD77" s="51">
        <v>1</v>
      </c>
      <c r="AE77" s="595" t="e" cm="1" vm="40">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5"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50"/>
      <c r="X78" s="24">
        <f ca="1">Horarios!C78</f>
        <v>46195.791666666664</v>
      </c>
      <c r="Y78" s="25">
        <f ca="1">Horarios!C78</f>
        <v>46195.791666666664</v>
      </c>
      <c r="Z78" s="26" t="str">
        <f>$Z$6</f>
        <v>R2</v>
      </c>
      <c r="AA78" s="27" t="str">
        <f ca="1">A77</f>
        <v>Argentina</v>
      </c>
      <c r="AB78" s="49" t="e" cm="1" vm="37">
        <f t="array" aca="1" ref="AB78" ca="1">Ver_flag_local</f>
        <v>#VALUE!</v>
      </c>
      <c r="AC78" s="50">
        <v>2</v>
      </c>
      <c r="AD78" s="51">
        <v>1</v>
      </c>
      <c r="AE78" s="595" t="e" cm="1" vm="39">
        <f t="array" aca="1" ref="AE78" ca="1">Ver_flag_visit</f>
        <v>#VALUE!</v>
      </c>
      <c r="AF78" s="32" t="str">
        <f ca="1">A79</f>
        <v>Austria</v>
      </c>
      <c r="AG78" s="323">
        <f t="shared" si="248"/>
        <v>1</v>
      </c>
      <c r="AH78" s="195">
        <v>43</v>
      </c>
      <c r="AI78" s="181" t="str">
        <f>AJ78&amp;$B$76</f>
        <v>1J</v>
      </c>
      <c r="AJ78" s="40">
        <v>1</v>
      </c>
      <c r="AK78" s="601" t="e" cm="1" vm="37">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8</v>
      </c>
      <c r="AS78" s="36">
        <f t="shared" ca="1" si="251"/>
        <v>1</v>
      </c>
      <c r="AT78" s="41">
        <f t="shared" ca="1" si="251"/>
        <v>7</v>
      </c>
      <c r="AU78" s="330">
        <f ca="1">INDEX($DL$6:$DL$53,MATCH(AI78,$DP$6:$DP$53,0))</f>
        <v>1</v>
      </c>
      <c r="AV78" s="182" t="str">
        <f ca="1">INDEX($BD$6:$BD$53,MATCH(AI78,$BM$6:$BM$53,0))</f>
        <v>Argentina</v>
      </c>
      <c r="AW78" s="210"/>
      <c r="AX78" s="171"/>
      <c r="AY78" s="201" t="str">
        <f ca="1">+A77</f>
        <v>Argentina</v>
      </c>
      <c r="AZ78" s="202"/>
      <c r="BA78" s="176"/>
      <c r="DN78" s="16"/>
    </row>
    <row r="79" spans="1:121" ht="15.95" customHeight="1">
      <c r="A79" s="16" t="str">
        <f ca="1">+Equipos!B40</f>
        <v>Austria</v>
      </c>
      <c r="B79" s="16"/>
      <c r="C79" s="16"/>
      <c r="D79" s="16" t="str">
        <f t="shared" si="235"/>
        <v>Visitante</v>
      </c>
      <c r="E79" s="16" t="str">
        <f t="shared" ca="1" si="236"/>
        <v>-</v>
      </c>
      <c r="F79" s="16" t="str">
        <f t="shared" ca="1" si="237"/>
        <v>-</v>
      </c>
      <c r="G79" s="16"/>
      <c r="H79" s="16" t="str">
        <f t="shared" ca="1" si="238"/>
        <v>-</v>
      </c>
      <c r="I79" s="16" t="str">
        <f t="shared" ca="1" si="239"/>
        <v>-</v>
      </c>
      <c r="J79" s="16"/>
      <c r="K79" s="16" t="str">
        <f t="shared" ca="1" si="240"/>
        <v>-</v>
      </c>
      <c r="L79" s="16" t="str">
        <f t="shared" ca="1" si="241"/>
        <v>-</v>
      </c>
      <c r="M79" s="16"/>
      <c r="N79" s="16" t="str">
        <f t="shared" ca="1" si="242"/>
        <v>-</v>
      </c>
      <c r="O79" s="16" t="str">
        <f t="shared" ca="1" si="243"/>
        <v>-</v>
      </c>
      <c r="P79" s="16"/>
      <c r="Q79" s="16" t="str">
        <f t="shared" ca="1" si="244"/>
        <v>-</v>
      </c>
      <c r="R79" s="16" t="str">
        <f t="shared" ca="1" si="245"/>
        <v>-</v>
      </c>
      <c r="S79" s="16"/>
      <c r="T79" s="16" t="str">
        <f t="shared" ca="1" si="246"/>
        <v>-</v>
      </c>
      <c r="U79" s="16" t="str">
        <f t="shared" ca="1" si="247"/>
        <v>-</v>
      </c>
      <c r="V79" s="17"/>
      <c r="W79" s="650"/>
      <c r="X79" s="24">
        <f ca="1">Horarios!C79</f>
        <v>46196.208333333336</v>
      </c>
      <c r="Y79" s="25">
        <f ca="1">Horarios!C79</f>
        <v>46196.208333333336</v>
      </c>
      <c r="Z79" s="26" t="str">
        <f>$Z$6</f>
        <v>R2</v>
      </c>
      <c r="AA79" s="27" t="str">
        <f ca="1">A80</f>
        <v>Jordan</v>
      </c>
      <c r="AB79" s="49" t="e" cm="1" vm="40">
        <f t="array" aca="1" ref="AB79" ca="1">Ver_flag_local</f>
        <v>#VALUE!</v>
      </c>
      <c r="AC79" s="50">
        <v>1</v>
      </c>
      <c r="AD79" s="51">
        <v>2</v>
      </c>
      <c r="AE79" s="595" t="e" cm="1" vm="38">
        <f t="array" aca="1" ref="AE79" ca="1">Ver_flag_visit</f>
        <v>#VALUE!</v>
      </c>
      <c r="AF79" s="32" t="str">
        <f ca="1">A78</f>
        <v>Algeria</v>
      </c>
      <c r="AG79" s="323">
        <f t="shared" si="248"/>
        <v>1</v>
      </c>
      <c r="AH79" s="195">
        <v>44</v>
      </c>
      <c r="AI79" s="181" t="str">
        <f t="shared" ref="AI79:AI81" si="252">AJ79&amp;$B$76</f>
        <v>2J</v>
      </c>
      <c r="AJ79" s="42">
        <v>2</v>
      </c>
      <c r="AK79" s="602" t="e" cm="1" vm="39">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5</v>
      </c>
      <c r="AS79" s="39">
        <f t="shared" ca="1" si="251"/>
        <v>4</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5" customHeight="1">
      <c r="A80" s="16" t="str">
        <f ca="1">+Equipos!B41</f>
        <v>Jordan</v>
      </c>
      <c r="B80" s="16"/>
      <c r="C80" s="16"/>
      <c r="D80" s="16" t="str">
        <f t="shared" si="235"/>
        <v>Visitante</v>
      </c>
      <c r="E80" s="16" t="str">
        <f t="shared" ca="1" si="236"/>
        <v>-</v>
      </c>
      <c r="F80" s="16" t="str">
        <f t="shared" ca="1" si="237"/>
        <v>-</v>
      </c>
      <c r="G80" s="16"/>
      <c r="H80" s="16" t="str">
        <f t="shared" ca="1" si="238"/>
        <v>-</v>
      </c>
      <c r="I80" s="16" t="str">
        <f t="shared" ca="1" si="239"/>
        <v>-</v>
      </c>
      <c r="J80" s="16"/>
      <c r="K80" s="16" t="str">
        <f t="shared" ca="1" si="240"/>
        <v>-</v>
      </c>
      <c r="L80" s="16" t="str">
        <f t="shared" ca="1" si="241"/>
        <v>-</v>
      </c>
      <c r="M80" s="16"/>
      <c r="N80" s="16" t="str">
        <f t="shared" ca="1" si="242"/>
        <v>-</v>
      </c>
      <c r="O80" s="16" t="str">
        <f t="shared" ca="1" si="243"/>
        <v>-</v>
      </c>
      <c r="P80" s="16"/>
      <c r="Q80" s="16" t="str">
        <f t="shared" ca="1" si="244"/>
        <v>-</v>
      </c>
      <c r="R80" s="16" t="str">
        <f t="shared" ca="1" si="245"/>
        <v>-</v>
      </c>
      <c r="S80" s="16"/>
      <c r="T80" s="16" t="str">
        <f t="shared" ca="1" si="246"/>
        <v>-</v>
      </c>
      <c r="U80" s="16" t="str">
        <f t="shared" ca="1" si="247"/>
        <v>-</v>
      </c>
      <c r="V80" s="17"/>
      <c r="W80" s="650"/>
      <c r="X80" s="24">
        <f ca="1">Horarios!C80</f>
        <v>46201.166666666664</v>
      </c>
      <c r="Y80" s="25">
        <f ca="1">Horarios!C80</f>
        <v>46201.166666666664</v>
      </c>
      <c r="Z80" s="26" t="str">
        <f>$Z$8</f>
        <v>R3</v>
      </c>
      <c r="AA80" s="27" t="str">
        <f ca="1">A78</f>
        <v>Algeria</v>
      </c>
      <c r="AB80" s="49" t="e" cm="1" vm="38">
        <f t="array" aca="1" ref="AB80" ca="1">Ver_flag_local</f>
        <v>#VALUE!</v>
      </c>
      <c r="AC80" s="50">
        <v>1</v>
      </c>
      <c r="AD80" s="51">
        <v>2</v>
      </c>
      <c r="AE80" s="595" t="e" cm="1" vm="39">
        <f t="array" aca="1" ref="AE80" ca="1">Ver_flag_visit</f>
        <v>#VALUE!</v>
      </c>
      <c r="AF80" s="32" t="str">
        <f ca="1">A79</f>
        <v>Austria</v>
      </c>
      <c r="AG80" s="323">
        <f t="shared" si="248"/>
        <v>1</v>
      </c>
      <c r="AH80" s="195">
        <v>69</v>
      </c>
      <c r="AI80" s="181" t="str">
        <f t="shared" si="252"/>
        <v>3J</v>
      </c>
      <c r="AJ80" s="42">
        <v>3</v>
      </c>
      <c r="AK80" s="602" t="e" cm="1" vm="38">
        <f t="array" aca="1" ref="AK80" ca="1">Ver_flag_visit</f>
        <v>#VALUE!</v>
      </c>
      <c r="AL80" s="37" t="str">
        <f ca="1">IFERROR(INDEX($BD$6:$BD$53,MATCH(AI80,$BN$6:$BN$53,0)),"")</f>
        <v>Algeria</v>
      </c>
      <c r="AM80" s="38">
        <f t="shared" ca="1" si="251"/>
        <v>3</v>
      </c>
      <c r="AN80" s="39">
        <f t="shared" ca="1" si="251"/>
        <v>3</v>
      </c>
      <c r="AO80" s="39">
        <f t="shared" ca="1" si="251"/>
        <v>1</v>
      </c>
      <c r="AP80" s="39">
        <f t="shared" ca="1" si="251"/>
        <v>0</v>
      </c>
      <c r="AQ80" s="39">
        <f t="shared" ca="1" si="251"/>
        <v>2</v>
      </c>
      <c r="AR80" s="39">
        <f t="shared" ca="1" si="251"/>
        <v>3</v>
      </c>
      <c r="AS80" s="39">
        <f t="shared" ca="1" si="251"/>
        <v>6</v>
      </c>
      <c r="AT80" s="43">
        <f t="shared" ca="1" si="251"/>
        <v>-3</v>
      </c>
      <c r="AU80" s="330">
        <f ca="1">INDEX($DL$6:$DL$53,MATCH(AI80,$DP$6:$DP$53,0))</f>
        <v>1</v>
      </c>
      <c r="AV80" s="182" t="str">
        <f ca="1">INDEX($BD$6:$BD$53,MATCH(AI80,$BM$6:$BM$53,0))</f>
        <v>Algeria</v>
      </c>
      <c r="AW80" s="210"/>
      <c r="AX80" s="171"/>
      <c r="AY80" s="201" t="str">
        <f ca="1">+A79</f>
        <v>Austria</v>
      </c>
      <c r="AZ80" s="202"/>
      <c r="BA80" s="176"/>
      <c r="DN80" s="16"/>
    </row>
    <row r="81" spans="1:118" ht="15.95" customHeight="1" thickBot="1">
      <c r="A81" s="16"/>
      <c r="B81" s="16"/>
      <c r="C81" s="16"/>
      <c r="D81" s="16" t="str">
        <f t="shared" si="235"/>
        <v>Visitante</v>
      </c>
      <c r="E81" s="16" t="str">
        <f t="shared" ca="1" si="236"/>
        <v>-</v>
      </c>
      <c r="F81" s="16" t="str">
        <f t="shared" ca="1" si="237"/>
        <v>-</v>
      </c>
      <c r="G81" s="16"/>
      <c r="H81" s="16" t="str">
        <f t="shared" ca="1" si="238"/>
        <v>-</v>
      </c>
      <c r="I81" s="16" t="str">
        <f t="shared" ca="1" si="239"/>
        <v>-</v>
      </c>
      <c r="J81" s="16"/>
      <c r="K81" s="16" t="str">
        <f t="shared" ca="1" si="240"/>
        <v>-</v>
      </c>
      <c r="L81" s="16" t="str">
        <f t="shared" ca="1" si="241"/>
        <v>-</v>
      </c>
      <c r="M81" s="16"/>
      <c r="N81" s="16" t="str">
        <f t="shared" ca="1" si="242"/>
        <v>-</v>
      </c>
      <c r="O81" s="16" t="str">
        <f t="shared" ca="1" si="243"/>
        <v>-</v>
      </c>
      <c r="P81" s="16"/>
      <c r="Q81" s="16" t="str">
        <f t="shared" ca="1" si="244"/>
        <v>-</v>
      </c>
      <c r="R81" s="16" t="str">
        <f t="shared" ca="1" si="245"/>
        <v>-</v>
      </c>
      <c r="S81" s="16"/>
      <c r="T81" s="16" t="str">
        <f t="shared" ca="1" si="246"/>
        <v>-</v>
      </c>
      <c r="U81" s="16" t="str">
        <f t="shared" ca="1" si="247"/>
        <v>-</v>
      </c>
      <c r="V81" s="17"/>
      <c r="W81" s="651"/>
      <c r="X81" s="28">
        <f ca="1">Horarios!C81</f>
        <v>46201.166666666664</v>
      </c>
      <c r="Y81" s="29">
        <f ca="1">Horarios!C81</f>
        <v>46201.166666666664</v>
      </c>
      <c r="Z81" s="30" t="str">
        <f>$Z$8</f>
        <v>R3</v>
      </c>
      <c r="AA81" s="31" t="str">
        <f ca="1">A80</f>
        <v>Jordan</v>
      </c>
      <c r="AB81" s="52" t="e" cm="1" vm="40">
        <f t="array" aca="1" ref="AB81" ca="1">Ver_flag_local</f>
        <v>#VALUE!</v>
      </c>
      <c r="AC81" s="53">
        <v>0</v>
      </c>
      <c r="AD81" s="54">
        <v>3</v>
      </c>
      <c r="AE81" s="596" t="e" cm="1" vm="37">
        <f t="array" aca="1" ref="AE81" ca="1">Ver_flag_visit</f>
        <v>#VALUE!</v>
      </c>
      <c r="AF81" s="33" t="str">
        <f ca="1">A77</f>
        <v>Argentina</v>
      </c>
      <c r="AG81" s="323">
        <f t="shared" si="248"/>
        <v>1</v>
      </c>
      <c r="AH81" s="195">
        <v>70</v>
      </c>
      <c r="AI81" s="181" t="str">
        <f t="shared" si="252"/>
        <v>4J</v>
      </c>
      <c r="AJ81" s="44">
        <v>4</v>
      </c>
      <c r="AK81" s="604" t="e" cm="1" vm="40">
        <f t="array" aca="1" ref="AK81" ca="1">Ver_flag_visit</f>
        <v>#VALUE!</v>
      </c>
      <c r="AL81" s="45" t="str">
        <f ca="1">IFERROR(INDEX($BD$6:$BD$53,MATCH(AI81,$BN$6:$BN$53,0)),"")</f>
        <v>Jordan</v>
      </c>
      <c r="AM81" s="46">
        <f t="shared" ca="1" si="251"/>
        <v>0</v>
      </c>
      <c r="AN81" s="47">
        <f t="shared" ca="1" si="251"/>
        <v>3</v>
      </c>
      <c r="AO81" s="47">
        <f t="shared" ca="1" si="251"/>
        <v>0</v>
      </c>
      <c r="AP81" s="47">
        <f t="shared" ca="1" si="251"/>
        <v>0</v>
      </c>
      <c r="AQ81" s="47">
        <f t="shared" ca="1" si="251"/>
        <v>3</v>
      </c>
      <c r="AR81" s="47">
        <f t="shared" ca="1" si="251"/>
        <v>2</v>
      </c>
      <c r="AS81" s="47">
        <f t="shared" ca="1" si="251"/>
        <v>7</v>
      </c>
      <c r="AT81" s="48">
        <f t="shared" ca="1" si="251"/>
        <v>-5</v>
      </c>
      <c r="AU81" s="330">
        <f ca="1">INDEX($DL$6:$DL$53,MATCH(AI81,$DP$6:$DP$53,0))</f>
        <v>1</v>
      </c>
      <c r="AV81" s="182" t="str">
        <f ca="1">INDEX($BD$6:$BD$53,MATCH(AI81,$BM$6:$BM$53,0))</f>
        <v>Jordan</v>
      </c>
      <c r="AW81" s="210"/>
      <c r="AX81" s="171"/>
      <c r="AY81" s="205" t="str">
        <f ca="1">+A80</f>
        <v>Jordan</v>
      </c>
      <c r="AZ81" s="206"/>
      <c r="BA81" s="176"/>
      <c r="DN81" s="16"/>
    </row>
    <row r="82" spans="1:118" ht="15.95"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5"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5" customHeight="1" thickBot="1">
      <c r="A84" s="16" t="s">
        <v>29</v>
      </c>
      <c r="B84" s="16" t="s">
        <v>143</v>
      </c>
      <c r="C84" s="16">
        <f>COUNTIF(Equipos!$C$2:$C$49,WORLDCUP!B84)</f>
        <v>4</v>
      </c>
      <c r="D84" s="16" t="str">
        <f t="shared" ref="D84:D89" si="253">IF(OR(AC84="",AD84=""),"Pendiente",IF(AC84&gt;AD84,"Local",IF(AC84&lt;AD84,"Visitante","Empate")))</f>
        <v>Local</v>
      </c>
      <c r="E84" s="16" t="str">
        <f t="shared" ref="E84:E89" ca="1" si="254">IF(D84="Pendiente","-",INDEX($BT$6:$BT$53,MATCH($AA84,$BD$6:$BD$53,0)))</f>
        <v>P.1 (2)</v>
      </c>
      <c r="F84" s="16" t="str">
        <f t="shared" ref="F84:F89" ca="1" si="255">IF(D84="Pendiente","-",INDEX($BT$6:$BT$53,MATCH($AF84,$BD$6:$BD$53,0)))</f>
        <v>-</v>
      </c>
      <c r="G84" s="16"/>
      <c r="H84" s="16" t="str">
        <f t="shared" ref="H84:H89" ca="1" si="256">IF(D84="Pendiente","-",INDEX($BZ$6:$BZ$53,MATCH($AA84,$BD$6:$BD$53,0)))</f>
        <v>P.1 (2)</v>
      </c>
      <c r="I84" s="16" t="str">
        <f t="shared" ref="I84:I89" ca="1" si="257">IF(D84="Pendiente","-",INDEX($BZ$6:$BZ$53,MATCH($AF84,$BD$6:$BD$53,0)))</f>
        <v>-</v>
      </c>
      <c r="J84" s="16"/>
      <c r="K84" s="16" t="str">
        <f t="shared" ref="K84:K89" ca="1" si="258">IF(D84="Pendiente","-",INDEX($CE$6:$CE$53,MATCH($AA84,$BD$6:$BD$53,0)))</f>
        <v>P.1 (2)</v>
      </c>
      <c r="L84" s="16" t="str">
        <f t="shared" ref="L84:L89" ca="1" si="259">IF(D84="Pendiente","-",INDEX($CE$6:$CE$53,MATCH($AF84,$BD$6:$BD$53,0)))</f>
        <v>-</v>
      </c>
      <c r="M84" s="16"/>
      <c r="N84" s="16" t="str">
        <f t="shared" ref="N84:N89" ca="1" si="260">IF(D84="Pendiente","-",INDEX($CH$6:$CH$53,MATCH($AA84,$BD$6:$BD$53,0)))</f>
        <v>P.1 (2)</v>
      </c>
      <c r="O84" s="16" t="str">
        <f t="shared" ref="O84:O89" ca="1" si="261">IF(D84="Pendiente","-",INDEX($CH$6:$CH$53,MATCH($AF84,$BD$6:$BD$53,0)))</f>
        <v>-</v>
      </c>
      <c r="P84" s="16"/>
      <c r="Q84" s="16" t="str">
        <f t="shared" ref="Q84:Q89" ca="1" si="262">IF(D84="Pendiente","-",INDEX($CN$6:$CN$53,MATCH($AA84,$BD$6:$BD$53,0)))</f>
        <v>P.1 (2)</v>
      </c>
      <c r="R84" s="16" t="str">
        <f t="shared" ref="R84:R89" ca="1" si="263">IF(D84="Pendiente","-",INDEX($CN$6:$CN$53,MATCH($AF84,$BD$6:$BD$53,0)))</f>
        <v>-</v>
      </c>
      <c r="S84" s="16"/>
      <c r="T84" s="16" t="str">
        <f t="shared" ref="T84:T89" ca="1" si="264">IF(D84="Pendiente","-",INDEX($CS$6:$CS$53,MATCH($AA84,$BD$6:$BD$53,0)))</f>
        <v>P.1 (2)</v>
      </c>
      <c r="U84" s="16" t="str">
        <f t="shared" ref="U84:U89" ca="1" si="265">IF(D84="Pendiente","-",INDEX($CS$6:$CS$53,MATCH($AF84,$BD$6:$BD$53,0)))</f>
        <v>-</v>
      </c>
      <c r="V84" s="17"/>
      <c r="W84" s="656" t="s">
        <v>143</v>
      </c>
      <c r="X84" s="24">
        <f ca="1">Horarios!C84</f>
        <v>46190.791666666664</v>
      </c>
      <c r="Y84" s="25">
        <f ca="1">Horarios!C84</f>
        <v>46190.791666666664</v>
      </c>
      <c r="Z84" s="26" t="str">
        <f>$Z$4</f>
        <v>R1</v>
      </c>
      <c r="AA84" s="27" t="str">
        <f ca="1">A85</f>
        <v>Portugal</v>
      </c>
      <c r="AB84" s="49" t="e" cm="1" vm="41">
        <f t="array" aca="1" ref="AB84" ca="1">Ver_flag_local</f>
        <v>#VALUE!</v>
      </c>
      <c r="AC84" s="50">
        <v>3</v>
      </c>
      <c r="AD84" s="51">
        <v>1</v>
      </c>
      <c r="AE84" s="595" t="e" cm="1" vm="42">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5" customHeight="1">
      <c r="A85" s="16" t="str">
        <f ca="1">+Equipos!B42</f>
        <v>Portugal</v>
      </c>
      <c r="B85" s="16"/>
      <c r="C85" s="16"/>
      <c r="D85" s="16" t="str">
        <f t="shared" si="253"/>
        <v>Visitante</v>
      </c>
      <c r="E85" s="16" t="str">
        <f t="shared" ca="1" si="254"/>
        <v>-</v>
      </c>
      <c r="F85" s="16" t="str">
        <f t="shared" ca="1" si="255"/>
        <v>P.1 (2)</v>
      </c>
      <c r="G85" s="16"/>
      <c r="H85" s="16" t="str">
        <f t="shared" ca="1" si="256"/>
        <v>-</v>
      </c>
      <c r="I85" s="16" t="str">
        <f t="shared" ca="1" si="257"/>
        <v>P.1 (2)</v>
      </c>
      <c r="J85" s="16"/>
      <c r="K85" s="16" t="str">
        <f t="shared" ca="1" si="258"/>
        <v>-</v>
      </c>
      <c r="L85" s="16" t="str">
        <f t="shared" ca="1" si="259"/>
        <v>P.1 (2)</v>
      </c>
      <c r="M85" s="16"/>
      <c r="N85" s="16" t="str">
        <f t="shared" ca="1" si="260"/>
        <v>-</v>
      </c>
      <c r="O85" s="16" t="str">
        <f t="shared" ca="1" si="261"/>
        <v>P.1 (2)</v>
      </c>
      <c r="P85" s="16"/>
      <c r="Q85" s="16" t="str">
        <f t="shared" ca="1" si="262"/>
        <v>-</v>
      </c>
      <c r="R85" s="16" t="str">
        <f t="shared" ca="1" si="263"/>
        <v>P.1 (2)</v>
      </c>
      <c r="S85" s="16"/>
      <c r="T85" s="16" t="str">
        <f t="shared" ca="1" si="264"/>
        <v>-</v>
      </c>
      <c r="U85" s="16" t="str">
        <f t="shared" ca="1" si="265"/>
        <v>P.1 (2)</v>
      </c>
      <c r="V85" s="17"/>
      <c r="W85" s="656"/>
      <c r="X85" s="24">
        <f ca="1">Horarios!C85</f>
        <v>46191.166666666664</v>
      </c>
      <c r="Y85" s="25">
        <f ca="1">Horarios!C85</f>
        <v>46191.166666666664</v>
      </c>
      <c r="Z85" s="26" t="str">
        <f>$Z$4</f>
        <v>R1</v>
      </c>
      <c r="AA85" s="27" t="str">
        <f ca="1">A87</f>
        <v>Uzbekistan</v>
      </c>
      <c r="AB85" s="49" t="e" cm="1" vm="43">
        <f t="array" aca="1" ref="AB85" ca="1">Ver_flag_local</f>
        <v>#VALUE!</v>
      </c>
      <c r="AC85" s="50">
        <v>0</v>
      </c>
      <c r="AD85" s="51">
        <v>2</v>
      </c>
      <c r="AE85" s="595" t="e" cm="1" vm="44">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5" customHeight="1">
      <c r="A86" s="16" t="str">
        <f ca="1">+Equipos!B43</f>
        <v>DR Congo</v>
      </c>
      <c r="B86" s="16"/>
      <c r="C86" s="16"/>
      <c r="D86" s="16" t="str">
        <f t="shared" si="253"/>
        <v>Local</v>
      </c>
      <c r="E86" s="16" t="str">
        <f t="shared" ca="1" si="254"/>
        <v>P.1 (2)</v>
      </c>
      <c r="F86" s="16" t="str">
        <f t="shared" ca="1" si="255"/>
        <v>-</v>
      </c>
      <c r="G86" s="16"/>
      <c r="H86" s="16" t="str">
        <f t="shared" ca="1" si="256"/>
        <v>P.1 (2)</v>
      </c>
      <c r="I86" s="16" t="str">
        <f t="shared" ca="1" si="257"/>
        <v>-</v>
      </c>
      <c r="J86" s="16"/>
      <c r="K86" s="16" t="str">
        <f t="shared" ca="1" si="258"/>
        <v>P.1 (2)</v>
      </c>
      <c r="L86" s="16" t="str">
        <f t="shared" ca="1" si="259"/>
        <v>-</v>
      </c>
      <c r="M86" s="16"/>
      <c r="N86" s="16" t="str">
        <f t="shared" ca="1" si="260"/>
        <v>P.1 (2)</v>
      </c>
      <c r="O86" s="16" t="str">
        <f t="shared" ca="1" si="261"/>
        <v>-</v>
      </c>
      <c r="P86" s="16"/>
      <c r="Q86" s="16" t="str">
        <f t="shared" ca="1" si="262"/>
        <v>P.1 (2)</v>
      </c>
      <c r="R86" s="16" t="str">
        <f t="shared" ca="1" si="263"/>
        <v>-</v>
      </c>
      <c r="S86" s="16"/>
      <c r="T86" s="16" t="str">
        <f t="shared" ca="1" si="264"/>
        <v>P.1 (2)</v>
      </c>
      <c r="U86" s="16" t="str">
        <f t="shared" ca="1" si="265"/>
        <v>-</v>
      </c>
      <c r="V86" s="17"/>
      <c r="W86" s="656"/>
      <c r="X86" s="24">
        <f ca="1">Horarios!C86</f>
        <v>46196.791666666664</v>
      </c>
      <c r="Y86" s="25">
        <f ca="1">Horarios!C86</f>
        <v>46196.791666666664</v>
      </c>
      <c r="Z86" s="26" t="str">
        <f>$Z$6</f>
        <v>R2</v>
      </c>
      <c r="AA86" s="27" t="str">
        <f ca="1">A85</f>
        <v>Portugal</v>
      </c>
      <c r="AB86" s="49" t="e" cm="1" vm="41">
        <f t="array" aca="1" ref="AB86" ca="1">Ver_flag_local</f>
        <v>#VALUE!</v>
      </c>
      <c r="AC86" s="50">
        <v>3</v>
      </c>
      <c r="AD86" s="51">
        <v>0</v>
      </c>
      <c r="AE86" s="595" t="e" cm="1" vm="43">
        <f t="array" aca="1" ref="AE86" ca="1">Ver_flag_visit</f>
        <v>#VALUE!</v>
      </c>
      <c r="AF86" s="32" t="str">
        <f ca="1">A87</f>
        <v>Uzbekistan</v>
      </c>
      <c r="AG86" s="323">
        <f t="shared" si="266"/>
        <v>1</v>
      </c>
      <c r="AH86" s="195">
        <v>47</v>
      </c>
      <c r="AI86" s="181" t="str">
        <f>AJ86&amp;$B$84</f>
        <v>1K</v>
      </c>
      <c r="AJ86" s="40">
        <v>1</v>
      </c>
      <c r="AK86" s="601" t="e" cm="1" vm="41">
        <f t="array" aca="1" ref="AK86" ca="1">Ver_flag_visit</f>
        <v>#VALUE!</v>
      </c>
      <c r="AL86" s="34" t="str">
        <f ca="1">IFERROR(INDEX($BD$6:$BD$53,MATCH(AI86,$BN$6:$BN$53,0)),"")</f>
        <v>Portugal</v>
      </c>
      <c r="AM86" s="35">
        <f t="shared" ref="AM86:AT89" ca="1" si="269">INDEX($BE$6:$BN$53,MATCH($AL86,$BD$6:$BD$53,0),MATCH(AM$5,$BE$5:$BN$5,0))</f>
        <v>7</v>
      </c>
      <c r="AN86" s="36">
        <f t="shared" ca="1" si="269"/>
        <v>3</v>
      </c>
      <c r="AO86" s="36">
        <f t="shared" ca="1" si="269"/>
        <v>2</v>
      </c>
      <c r="AP86" s="36">
        <f t="shared" ca="1" si="269"/>
        <v>1</v>
      </c>
      <c r="AQ86" s="36">
        <f t="shared" ca="1" si="269"/>
        <v>0</v>
      </c>
      <c r="AR86" s="36">
        <f t="shared" ca="1" si="269"/>
        <v>8</v>
      </c>
      <c r="AS86" s="36">
        <f t="shared" ca="1" si="269"/>
        <v>3</v>
      </c>
      <c r="AT86" s="41">
        <f t="shared" ca="1" si="269"/>
        <v>5</v>
      </c>
      <c r="AU86" s="330">
        <f ca="1">INDEX($DL$6:$DL$53,MATCH(AI86,$DP$6:$DP$53,0))</f>
        <v>1</v>
      </c>
      <c r="AV86" s="182" t="str">
        <f ca="1">INDEX($BD$6:$BD$53,MATCH(AI86,$BM$6:$BM$53,0))</f>
        <v>Portugal</v>
      </c>
      <c r="AW86" s="210"/>
      <c r="AX86" s="171"/>
      <c r="AY86" s="201" t="str">
        <f ca="1">+A85</f>
        <v>Portugal</v>
      </c>
      <c r="AZ86" s="202"/>
      <c r="BA86" s="176"/>
      <c r="DN86" s="16"/>
    </row>
    <row r="87" spans="1:118" ht="15.95" customHeight="1">
      <c r="A87" s="16" t="str">
        <f ca="1">+Equipos!B44</f>
        <v>Uzbekistan</v>
      </c>
      <c r="B87" s="16"/>
      <c r="C87" s="16"/>
      <c r="D87" s="16" t="str">
        <f t="shared" si="253"/>
        <v>Local</v>
      </c>
      <c r="E87" s="16" t="str">
        <f t="shared" ca="1" si="254"/>
        <v>P.1 (2)</v>
      </c>
      <c r="F87" s="16" t="str">
        <f t="shared" ca="1" si="255"/>
        <v>-</v>
      </c>
      <c r="G87" s="16"/>
      <c r="H87" s="16" t="str">
        <f t="shared" ca="1" si="256"/>
        <v>P.1 (2)</v>
      </c>
      <c r="I87" s="16" t="str">
        <f t="shared" ca="1" si="257"/>
        <v>-</v>
      </c>
      <c r="J87" s="16"/>
      <c r="K87" s="16" t="str">
        <f t="shared" ca="1" si="258"/>
        <v>P.1 (2)</v>
      </c>
      <c r="L87" s="16" t="str">
        <f t="shared" ca="1" si="259"/>
        <v>-</v>
      </c>
      <c r="M87" s="16"/>
      <c r="N87" s="16" t="str">
        <f t="shared" ca="1" si="260"/>
        <v>P.1 (2)</v>
      </c>
      <c r="O87" s="16" t="str">
        <f t="shared" ca="1" si="261"/>
        <v>-</v>
      </c>
      <c r="P87" s="16"/>
      <c r="Q87" s="16" t="str">
        <f t="shared" ca="1" si="262"/>
        <v>P.1 (2)</v>
      </c>
      <c r="R87" s="16" t="str">
        <f t="shared" ca="1" si="263"/>
        <v>-</v>
      </c>
      <c r="S87" s="16"/>
      <c r="T87" s="16" t="str">
        <f t="shared" ca="1" si="264"/>
        <v>P.1 (2)</v>
      </c>
      <c r="U87" s="16" t="str">
        <f t="shared" ca="1" si="265"/>
        <v>-</v>
      </c>
      <c r="V87" s="17"/>
      <c r="W87" s="656"/>
      <c r="X87" s="24">
        <f ca="1">Horarios!C87</f>
        <v>46197.166666666664</v>
      </c>
      <c r="Y87" s="25">
        <f ca="1">Horarios!C87</f>
        <v>46197.166666666664</v>
      </c>
      <c r="Z87" s="26" t="str">
        <f>$Z$6</f>
        <v>R2</v>
      </c>
      <c r="AA87" s="27" t="str">
        <f ca="1">A88</f>
        <v>Colombia</v>
      </c>
      <c r="AB87" s="49" t="e" cm="1" vm="44">
        <f t="array" aca="1" ref="AB87" ca="1">Ver_flag_local</f>
        <v>#VALUE!</v>
      </c>
      <c r="AC87" s="50">
        <v>3</v>
      </c>
      <c r="AD87" s="51">
        <v>1</v>
      </c>
      <c r="AE87" s="595" t="e" cm="1" vm="42">
        <f t="array" aca="1" ref="AE87" ca="1">Ver_flag_visit</f>
        <v>#VALUE!</v>
      </c>
      <c r="AF87" s="32" t="str">
        <f ca="1">A86</f>
        <v>DR Congo</v>
      </c>
      <c r="AG87" s="323">
        <f t="shared" si="266"/>
        <v>1</v>
      </c>
      <c r="AH87" s="195">
        <v>48</v>
      </c>
      <c r="AI87" s="181" t="str">
        <f t="shared" ref="AI87:AI89" si="270">AJ87&amp;$B$84</f>
        <v>2K</v>
      </c>
      <c r="AJ87" s="42">
        <v>2</v>
      </c>
      <c r="AK87" s="602" t="e" cm="1" vm="44">
        <f t="array" aca="1" ref="AK87" ca="1">Ver_flag_visit</f>
        <v>#VALUE!</v>
      </c>
      <c r="AL87" s="37" t="str">
        <f ca="1">IFERROR(INDEX($BD$6:$BD$53,MATCH(AI87,$BN$6:$BN$53,0)),"")</f>
        <v>Colombia</v>
      </c>
      <c r="AM87" s="38">
        <f t="shared" ca="1" si="269"/>
        <v>7</v>
      </c>
      <c r="AN87" s="39">
        <f t="shared" ca="1" si="269"/>
        <v>3</v>
      </c>
      <c r="AO87" s="39">
        <f t="shared" ca="1" si="269"/>
        <v>2</v>
      </c>
      <c r="AP87" s="39">
        <f t="shared" ca="1" si="269"/>
        <v>1</v>
      </c>
      <c r="AQ87" s="39">
        <f t="shared" ca="1" si="269"/>
        <v>0</v>
      </c>
      <c r="AR87" s="39">
        <f t="shared" ca="1" si="269"/>
        <v>7</v>
      </c>
      <c r="AS87" s="39">
        <f t="shared" ca="1" si="269"/>
        <v>3</v>
      </c>
      <c r="AT87" s="43">
        <f t="shared" ca="1" si="269"/>
        <v>4</v>
      </c>
      <c r="AU87" s="330">
        <f ca="1">INDEX($DL$6:$DL$53,MATCH(AI87,$DP$6:$DP$53,0))</f>
        <v>1</v>
      </c>
      <c r="AV87" s="182" t="str">
        <f ca="1">INDEX($BD$6:$BD$53,MATCH(AI87,$BM$6:$BM$53,0))</f>
        <v>Colombia</v>
      </c>
      <c r="AW87" s="210"/>
      <c r="AX87" s="171"/>
      <c r="AY87" s="203" t="str">
        <f ca="1">+A86</f>
        <v>DR Congo</v>
      </c>
      <c r="AZ87" s="204"/>
      <c r="BA87" s="176"/>
      <c r="DN87" s="16"/>
    </row>
    <row r="88" spans="1:118" ht="15.95" customHeight="1">
      <c r="A88" s="16" t="str">
        <f ca="1">+Equipos!B45</f>
        <v>Colombia</v>
      </c>
      <c r="B88" s="16"/>
      <c r="C88" s="16"/>
      <c r="D88" s="16" t="str">
        <f t="shared" si="253"/>
        <v>Empate</v>
      </c>
      <c r="E88" s="16" t="str">
        <f t="shared" ca="1" si="254"/>
        <v>P.1 (2)</v>
      </c>
      <c r="F88" s="16" t="str">
        <f t="shared" ca="1" si="255"/>
        <v>P.1 (2)</v>
      </c>
      <c r="G88" s="16"/>
      <c r="H88" s="16" t="str">
        <f t="shared" ca="1" si="256"/>
        <v>P.1 (2)</v>
      </c>
      <c r="I88" s="16" t="str">
        <f t="shared" ca="1" si="257"/>
        <v>P.1 (2)</v>
      </c>
      <c r="J88" s="16"/>
      <c r="K88" s="16" t="str">
        <f t="shared" ca="1" si="258"/>
        <v>P.1 (2)</v>
      </c>
      <c r="L88" s="16" t="str">
        <f t="shared" ca="1" si="259"/>
        <v>P.1 (2)</v>
      </c>
      <c r="M88" s="16"/>
      <c r="N88" s="16" t="str">
        <f t="shared" ca="1" si="260"/>
        <v>P.1 (2)</v>
      </c>
      <c r="O88" s="16" t="str">
        <f t="shared" ca="1" si="261"/>
        <v>P.1 (2)</v>
      </c>
      <c r="P88" s="16"/>
      <c r="Q88" s="16" t="str">
        <f t="shared" ca="1" si="262"/>
        <v>P.1 (2)</v>
      </c>
      <c r="R88" s="16" t="str">
        <f t="shared" ca="1" si="263"/>
        <v>P.1 (2)</v>
      </c>
      <c r="S88" s="16"/>
      <c r="T88" s="16" t="str">
        <f t="shared" ca="1" si="264"/>
        <v>P.1 (2)</v>
      </c>
      <c r="U88" s="16" t="str">
        <f t="shared" ca="1" si="265"/>
        <v>P.1 (2)</v>
      </c>
      <c r="V88" s="17"/>
      <c r="W88" s="656"/>
      <c r="X88" s="24">
        <f ca="1">Horarios!C88</f>
        <v>46201.0625</v>
      </c>
      <c r="Y88" s="25">
        <f ca="1">Horarios!C88</f>
        <v>46201.0625</v>
      </c>
      <c r="Z88" s="26" t="str">
        <f>$Z$8</f>
        <v>R3</v>
      </c>
      <c r="AA88" s="27" t="str">
        <f ca="1">A88</f>
        <v>Colombia</v>
      </c>
      <c r="AB88" s="49" t="e" cm="1" vm="44">
        <f t="array" aca="1" ref="AB88" ca="1">Ver_flag_local</f>
        <v>#VALUE!</v>
      </c>
      <c r="AC88" s="50">
        <v>2</v>
      </c>
      <c r="AD88" s="51">
        <v>2</v>
      </c>
      <c r="AE88" s="595" t="e" cm="1" vm="41">
        <f t="array" aca="1" ref="AE88" ca="1">Ver_flag_visit</f>
        <v>#VALUE!</v>
      </c>
      <c r="AF88" s="32" t="str">
        <f ca="1">A85</f>
        <v>Portugal</v>
      </c>
      <c r="AG88" s="323">
        <f t="shared" si="266"/>
        <v>1</v>
      </c>
      <c r="AH88" s="195">
        <v>71</v>
      </c>
      <c r="AI88" s="181" t="str">
        <f t="shared" si="270"/>
        <v>3K</v>
      </c>
      <c r="AJ88" s="42">
        <v>3</v>
      </c>
      <c r="AK88" s="602" t="e" cm="1" vm="42">
        <f t="array" aca="1" ref="AK88" ca="1">Ver_flag_visit</f>
        <v>#VALUE!</v>
      </c>
      <c r="AL88" s="37" t="str">
        <f ca="1">IFERROR(INDEX($BD$6:$BD$53,MATCH(AI88,$BN$6:$BN$53,0)),"")</f>
        <v>DR Congo</v>
      </c>
      <c r="AM88" s="38">
        <f t="shared" ca="1" si="269"/>
        <v>3</v>
      </c>
      <c r="AN88" s="39">
        <f t="shared" ca="1" si="269"/>
        <v>3</v>
      </c>
      <c r="AO88" s="39">
        <f t="shared" ca="1" si="269"/>
        <v>1</v>
      </c>
      <c r="AP88" s="39">
        <f t="shared" ca="1" si="269"/>
        <v>0</v>
      </c>
      <c r="AQ88" s="39">
        <f t="shared" ca="1" si="269"/>
        <v>2</v>
      </c>
      <c r="AR88" s="39">
        <f t="shared" ca="1" si="269"/>
        <v>4</v>
      </c>
      <c r="AS88" s="39">
        <f t="shared" ca="1" si="269"/>
        <v>6</v>
      </c>
      <c r="AT88" s="43">
        <f t="shared" ca="1" si="269"/>
        <v>-2</v>
      </c>
      <c r="AU88" s="330">
        <f ca="1">INDEX($DL$6:$DL$53,MATCH(AI88,$DP$6:$DP$53,0))</f>
        <v>1</v>
      </c>
      <c r="AV88" s="182" t="str">
        <f ca="1">INDEX($BD$6:$BD$53,MATCH(AI88,$BM$6:$BM$53,0))</f>
        <v>DR Congo</v>
      </c>
      <c r="AW88" s="210"/>
      <c r="AX88" s="171"/>
      <c r="AY88" s="201" t="str">
        <f ca="1">+A87</f>
        <v>Uzbekistan</v>
      </c>
      <c r="AZ88" s="202"/>
      <c r="BA88" s="176"/>
    </row>
    <row r="89" spans="1:118" ht="15.95" customHeight="1" thickBot="1">
      <c r="A89" s="16"/>
      <c r="B89" s="16"/>
      <c r="C89" s="16"/>
      <c r="D89" s="16" t="str">
        <f t="shared" si="253"/>
        <v>Local</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57"/>
      <c r="X89" s="28">
        <f ca="1">Horarios!C89</f>
        <v>46201.0625</v>
      </c>
      <c r="Y89" s="29">
        <f ca="1">Horarios!C89</f>
        <v>46201.0625</v>
      </c>
      <c r="Z89" s="30" t="str">
        <f>$Z$8</f>
        <v>R3</v>
      </c>
      <c r="AA89" s="31" t="str">
        <f ca="1">A86</f>
        <v>DR Congo</v>
      </c>
      <c r="AB89" s="52" t="e" cm="1" vm="42">
        <f t="array" aca="1" ref="AB89" ca="1">Ver_flag_local</f>
        <v>#VALUE!</v>
      </c>
      <c r="AC89" s="53">
        <v>2</v>
      </c>
      <c r="AD89" s="54">
        <v>0</v>
      </c>
      <c r="AE89" s="596" t="e" cm="1" vm="43">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Uzbekistan</v>
      </c>
      <c r="AM89" s="46">
        <f t="shared" ca="1" si="269"/>
        <v>0</v>
      </c>
      <c r="AN89" s="47">
        <f t="shared" ca="1" si="269"/>
        <v>3</v>
      </c>
      <c r="AO89" s="47">
        <f t="shared" ca="1" si="269"/>
        <v>0</v>
      </c>
      <c r="AP89" s="47">
        <f t="shared" ca="1" si="269"/>
        <v>0</v>
      </c>
      <c r="AQ89" s="47">
        <f t="shared" ca="1" si="269"/>
        <v>3</v>
      </c>
      <c r="AR89" s="47">
        <f t="shared" ca="1" si="269"/>
        <v>0</v>
      </c>
      <c r="AS89" s="47">
        <f t="shared" ca="1" si="269"/>
        <v>7</v>
      </c>
      <c r="AT89" s="48">
        <f t="shared" ca="1" si="269"/>
        <v>-7</v>
      </c>
      <c r="AU89" s="330">
        <f ca="1">INDEX($DL$6:$DL$53,MATCH(AI89,$DP$6:$DP$53,0))</f>
        <v>1</v>
      </c>
      <c r="AV89" s="182" t="str">
        <f ca="1">INDEX($BD$6:$BD$53,MATCH(AI89,$BM$6:$BM$53,0))</f>
        <v>Uzbekistan</v>
      </c>
      <c r="AW89" s="210"/>
      <c r="AX89" s="171"/>
      <c r="AY89" s="205" t="str">
        <f ca="1">+A88</f>
        <v>Colombia</v>
      </c>
      <c r="AZ89" s="206"/>
      <c r="BA89" s="176"/>
    </row>
    <row r="90" spans="1:118" ht="15.95"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5"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5" customHeight="1" thickBot="1">
      <c r="A92" s="16" t="s">
        <v>29</v>
      </c>
      <c r="B92" s="16" t="s">
        <v>144</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v>
      </c>
      <c r="G92" s="16"/>
      <c r="H92" s="16" t="str">
        <f t="shared" ref="H92:H97" ca="1" si="274">IF(D92="Pendiente","-",INDEX($BZ$6:$BZ$53,MATCH($AA92,$BD$6:$BD$53,0)))</f>
        <v>-</v>
      </c>
      <c r="I92" s="16" t="str">
        <f t="shared" ref="I92:I97" ca="1" si="275">IF(D92="Pendiente","-",INDEX($BZ$6:$BZ$53,MATCH($AF92,$BD$6:$BD$53,0)))</f>
        <v>-</v>
      </c>
      <c r="J92" s="16"/>
      <c r="K92" s="16" t="str">
        <f t="shared" ref="K92:K97" ca="1" si="276">IF(D92="Pendiente","-",INDEX($CE$6:$CE$53,MATCH($AA92,$BD$6:$BD$53,0)))</f>
        <v>-</v>
      </c>
      <c r="L92" s="16" t="str">
        <f t="shared" ref="L92:L97" ca="1" si="277">IF(D92="Pendiente","-",INDEX($CE$6:$CE$53,MATCH($AF92,$BD$6:$BD$53,0)))</f>
        <v>-</v>
      </c>
      <c r="M92" s="16"/>
      <c r="N92" s="16" t="str">
        <f t="shared" ref="N92:N97" ca="1" si="278">IF(D92="Pendiente","-",INDEX($CH$6:$CH$53,MATCH($AA92,$BD$6:$BD$53,0)))</f>
        <v>-</v>
      </c>
      <c r="O92" s="16" t="str">
        <f t="shared" ref="O92:O97" ca="1" si="279">IF(D92="Pendiente","-",INDEX($CH$6:$CH$53,MATCH($AF92,$BD$6:$BD$53,0)))</f>
        <v>-</v>
      </c>
      <c r="P92" s="16"/>
      <c r="Q92" s="16" t="str">
        <f t="shared" ref="Q92:Q97" ca="1" si="280">IF(D92="Pendiente","-",INDEX($CN$6:$CN$53,MATCH($AA92,$BD$6:$BD$53,0)))</f>
        <v>-</v>
      </c>
      <c r="R92" s="16" t="str">
        <f t="shared" ref="R92:R97" ca="1" si="281">IF(D92="Pendiente","-",INDEX($CN$6:$CN$53,MATCH($AF92,$BD$6:$BD$53,0)))</f>
        <v>-</v>
      </c>
      <c r="S92" s="16"/>
      <c r="T92" s="16" t="str">
        <f t="shared" ref="T92:T97" ca="1" si="282">IF(D92="Pendiente","-",INDEX($CS$6:$CS$53,MATCH($AA92,$BD$6:$BD$53,0)))</f>
        <v>-</v>
      </c>
      <c r="U92" s="16" t="str">
        <f t="shared" ref="U92:U97" ca="1" si="283">IF(D92="Pendiente","-",INDEX($CS$6:$CS$53,MATCH($AF92,$BD$6:$BD$53,0)))</f>
        <v>-</v>
      </c>
      <c r="V92" s="17"/>
      <c r="W92" s="652" t="s">
        <v>144</v>
      </c>
      <c r="X92" s="24">
        <f ca="1">Horarios!C92</f>
        <v>46190.916666666664</v>
      </c>
      <c r="Y92" s="25">
        <f ca="1">Horarios!C92</f>
        <v>46190.916666666664</v>
      </c>
      <c r="Z92" s="26" t="str">
        <f>$Z$4</f>
        <v>R1</v>
      </c>
      <c r="AA92" s="27" t="str">
        <f ca="1">A93</f>
        <v>England</v>
      </c>
      <c r="AB92" s="49" t="e" cm="1" vm="45">
        <f t="array" aca="1" ref="AB92" ca="1">Ver_flag_local</f>
        <v>#VALUE!</v>
      </c>
      <c r="AC92" s="50">
        <v>2</v>
      </c>
      <c r="AD92" s="51">
        <v>1</v>
      </c>
      <c r="AE92" s="595" t="e" cm="1" vm="46">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5" customHeight="1">
      <c r="A93" s="16" t="str">
        <f ca="1">+Equipos!B46</f>
        <v>England</v>
      </c>
      <c r="B93" s="16"/>
      <c r="C93" s="16"/>
      <c r="D93" s="16" t="str">
        <f t="shared" si="271"/>
        <v>Local</v>
      </c>
      <c r="E93" s="16" t="str">
        <f t="shared" ca="1" si="272"/>
        <v>-</v>
      </c>
      <c r="F93" s="16" t="str">
        <f t="shared" ca="1" si="273"/>
        <v>-</v>
      </c>
      <c r="G93" s="16"/>
      <c r="H93" s="16" t="str">
        <f t="shared" ca="1" si="274"/>
        <v>-</v>
      </c>
      <c r="I93" s="16" t="str">
        <f t="shared" ca="1" si="275"/>
        <v>-</v>
      </c>
      <c r="J93" s="16"/>
      <c r="K93" s="16" t="str">
        <f t="shared" ca="1" si="276"/>
        <v>-</v>
      </c>
      <c r="L93" s="16" t="str">
        <f t="shared" ca="1" si="277"/>
        <v>-</v>
      </c>
      <c r="M93" s="16"/>
      <c r="N93" s="16" t="str">
        <f t="shared" ca="1" si="278"/>
        <v>-</v>
      </c>
      <c r="O93" s="16" t="str">
        <f t="shared" ca="1" si="279"/>
        <v>-</v>
      </c>
      <c r="P93" s="16"/>
      <c r="Q93" s="16" t="str">
        <f t="shared" ca="1" si="280"/>
        <v>-</v>
      </c>
      <c r="R93" s="16" t="str">
        <f t="shared" ca="1" si="281"/>
        <v>-</v>
      </c>
      <c r="S93" s="16"/>
      <c r="T93" s="16" t="str">
        <f t="shared" ca="1" si="282"/>
        <v>-</v>
      </c>
      <c r="U93" s="16" t="str">
        <f t="shared" ca="1" si="283"/>
        <v>-</v>
      </c>
      <c r="V93" s="17"/>
      <c r="W93" s="652"/>
      <c r="X93" s="24">
        <f ca="1">Horarios!C93</f>
        <v>46191.041666666664</v>
      </c>
      <c r="Y93" s="25">
        <f ca="1">Horarios!C93</f>
        <v>46191.041666666664</v>
      </c>
      <c r="Z93" s="26" t="str">
        <f>$Z$4</f>
        <v>R1</v>
      </c>
      <c r="AA93" s="27" t="str">
        <f ca="1">A95</f>
        <v>Ghana</v>
      </c>
      <c r="AB93" s="49" t="e" cm="1" vm="47">
        <f t="array" aca="1" ref="AB93" ca="1">Ver_flag_local</f>
        <v>#VALUE!</v>
      </c>
      <c r="AC93" s="50">
        <v>3</v>
      </c>
      <c r="AD93" s="51">
        <v>1</v>
      </c>
      <c r="AE93" s="595" t="e" cm="1" vm="48">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5" customHeight="1">
      <c r="A94" s="16" t="str">
        <f ca="1">+Equipos!B47</f>
        <v>Croatia</v>
      </c>
      <c r="B94" s="16"/>
      <c r="C94" s="16"/>
      <c r="D94" s="16" t="str">
        <f t="shared" si="271"/>
        <v>Local</v>
      </c>
      <c r="E94" s="16" t="str">
        <f t="shared" ca="1" si="272"/>
        <v>-</v>
      </c>
      <c r="F94" s="16" t="str">
        <f t="shared" ca="1" si="273"/>
        <v>-</v>
      </c>
      <c r="G94" s="16"/>
      <c r="H94" s="16" t="str">
        <f t="shared" ca="1" si="274"/>
        <v>-</v>
      </c>
      <c r="I94" s="16" t="str">
        <f t="shared" ca="1" si="275"/>
        <v>-</v>
      </c>
      <c r="J94" s="16"/>
      <c r="K94" s="16" t="str">
        <f t="shared" ca="1" si="276"/>
        <v>-</v>
      </c>
      <c r="L94" s="16" t="str">
        <f t="shared" ca="1" si="277"/>
        <v>-</v>
      </c>
      <c r="M94" s="16"/>
      <c r="N94" s="16" t="str">
        <f t="shared" ca="1" si="278"/>
        <v>-</v>
      </c>
      <c r="O94" s="16" t="str">
        <f t="shared" ca="1" si="279"/>
        <v>-</v>
      </c>
      <c r="P94" s="16"/>
      <c r="Q94" s="16" t="str">
        <f t="shared" ca="1" si="280"/>
        <v>-</v>
      </c>
      <c r="R94" s="16" t="str">
        <f t="shared" ca="1" si="281"/>
        <v>-</v>
      </c>
      <c r="S94" s="16"/>
      <c r="T94" s="16" t="str">
        <f t="shared" ca="1" si="282"/>
        <v>-</v>
      </c>
      <c r="U94" s="16" t="str">
        <f t="shared" ca="1" si="283"/>
        <v>-</v>
      </c>
      <c r="V94" s="17"/>
      <c r="W94" s="652"/>
      <c r="X94" s="24">
        <f ca="1">Horarios!C94</f>
        <v>46196.916666666664</v>
      </c>
      <c r="Y94" s="25">
        <f ca="1">Horarios!C94</f>
        <v>46196.916666666664</v>
      </c>
      <c r="Z94" s="26" t="str">
        <f>$Z$6</f>
        <v>R2</v>
      </c>
      <c r="AA94" s="27" t="str">
        <f ca="1">A93</f>
        <v>England</v>
      </c>
      <c r="AB94" s="49" t="e" cm="1" vm="45">
        <f t="array" aca="1" ref="AB94" ca="1">Ver_flag_local</f>
        <v>#VALUE!</v>
      </c>
      <c r="AC94" s="50">
        <v>2</v>
      </c>
      <c r="AD94" s="51">
        <v>1</v>
      </c>
      <c r="AE94" s="595" t="e" cm="1" vm="47">
        <f t="array" aca="1" ref="AE94" ca="1">Ver_flag_visit</f>
        <v>#VALUE!</v>
      </c>
      <c r="AF94" s="32" t="str">
        <f ca="1">A95</f>
        <v>Ghana</v>
      </c>
      <c r="AG94" s="323">
        <f t="shared" si="284"/>
        <v>1</v>
      </c>
      <c r="AH94" s="195">
        <v>45</v>
      </c>
      <c r="AI94" s="181" t="str">
        <f>AJ94&amp;$B$92</f>
        <v>1L</v>
      </c>
      <c r="AJ94" s="40">
        <v>1</v>
      </c>
      <c r="AK94" s="601" t="e" cm="1" vm="45">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6</v>
      </c>
      <c r="AS94" s="36">
        <f t="shared" ca="1" si="287"/>
        <v>3</v>
      </c>
      <c r="AT94" s="41">
        <f t="shared" ca="1" si="287"/>
        <v>3</v>
      </c>
      <c r="AU94" s="330">
        <f ca="1">INDEX($DL$6:$DL$53,MATCH(AI94,$DP$6:$DP$53,0))</f>
        <v>1</v>
      </c>
      <c r="AV94" s="182" t="str">
        <f ca="1">INDEX($BD$6:$BD$53,MATCH(AI94,$BM$6:$BM$53,0))</f>
        <v>England</v>
      </c>
      <c r="AW94" s="210"/>
      <c r="AX94" s="171"/>
      <c r="AY94" s="201" t="str">
        <f ca="1">+A93</f>
        <v>England</v>
      </c>
      <c r="AZ94" s="202"/>
      <c r="BA94" s="176"/>
    </row>
    <row r="95" spans="1:118" ht="15.95" customHeight="1">
      <c r="A95" s="16" t="str">
        <f ca="1">+Equipos!B48</f>
        <v>Ghana</v>
      </c>
      <c r="B95" s="16"/>
      <c r="C95" s="16"/>
      <c r="D95" s="16" t="str">
        <f t="shared" si="271"/>
        <v>Visitante</v>
      </c>
      <c r="E95" s="16" t="str">
        <f t="shared" ca="1" si="272"/>
        <v>-</v>
      </c>
      <c r="F95" s="16" t="str">
        <f t="shared" ca="1" si="273"/>
        <v>-</v>
      </c>
      <c r="G95" s="16"/>
      <c r="H95" s="16" t="str">
        <f t="shared" ca="1" si="274"/>
        <v>-</v>
      </c>
      <c r="I95" s="16" t="str">
        <f t="shared" ca="1" si="275"/>
        <v>-</v>
      </c>
      <c r="J95" s="16"/>
      <c r="K95" s="16" t="str">
        <f t="shared" ca="1" si="276"/>
        <v>-</v>
      </c>
      <c r="L95" s="16" t="str">
        <f t="shared" ca="1" si="277"/>
        <v>-</v>
      </c>
      <c r="M95" s="16"/>
      <c r="N95" s="16" t="str">
        <f t="shared" ca="1" si="278"/>
        <v>-</v>
      </c>
      <c r="O95" s="16" t="str">
        <f t="shared" ca="1" si="279"/>
        <v>-</v>
      </c>
      <c r="P95" s="16"/>
      <c r="Q95" s="16" t="str">
        <f t="shared" ca="1" si="280"/>
        <v>-</v>
      </c>
      <c r="R95" s="16" t="str">
        <f t="shared" ca="1" si="281"/>
        <v>-</v>
      </c>
      <c r="S95" s="16"/>
      <c r="T95" s="16" t="str">
        <f t="shared" ca="1" si="282"/>
        <v>-</v>
      </c>
      <c r="U95" s="16" t="str">
        <f t="shared" ca="1" si="283"/>
        <v>-</v>
      </c>
      <c r="V95" s="17"/>
      <c r="W95" s="652"/>
      <c r="X95" s="24">
        <f ca="1">Horarios!C95</f>
        <v>46197.041666666664</v>
      </c>
      <c r="Y95" s="25">
        <f ca="1">Horarios!C95</f>
        <v>46197.041666666664</v>
      </c>
      <c r="Z95" s="26" t="str">
        <f>$Z$6</f>
        <v>R2</v>
      </c>
      <c r="AA95" s="27" t="str">
        <f ca="1">A96</f>
        <v>Panama</v>
      </c>
      <c r="AB95" s="49" t="e" cm="1" vm="48">
        <f t="array" aca="1" ref="AB95" ca="1">Ver_flag_local</f>
        <v>#VALUE!</v>
      </c>
      <c r="AC95" s="50">
        <v>1</v>
      </c>
      <c r="AD95" s="51">
        <v>2</v>
      </c>
      <c r="AE95" s="595" t="e" cm="1" vm="46">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Ghana</v>
      </c>
      <c r="AM95" s="38">
        <f t="shared" ca="1" si="287"/>
        <v>6</v>
      </c>
      <c r="AN95" s="39">
        <f t="shared" ca="1" si="287"/>
        <v>3</v>
      </c>
      <c r="AO95" s="39">
        <f t="shared" ca="1" si="287"/>
        <v>2</v>
      </c>
      <c r="AP95" s="39">
        <f t="shared" ca="1" si="287"/>
        <v>0</v>
      </c>
      <c r="AQ95" s="39">
        <f t="shared" ca="1" si="287"/>
        <v>1</v>
      </c>
      <c r="AR95" s="39">
        <f t="shared" ca="1" si="287"/>
        <v>7</v>
      </c>
      <c r="AS95" s="39">
        <f t="shared" ca="1" si="287"/>
        <v>5</v>
      </c>
      <c r="AT95" s="43">
        <f t="shared" ca="1" si="287"/>
        <v>2</v>
      </c>
      <c r="AU95" s="330">
        <f ca="1">INDEX($DL$6:$DL$53,MATCH(AI95,$DP$6:$DP$53,0))</f>
        <v>1</v>
      </c>
      <c r="AV95" s="182" t="str">
        <f ca="1">INDEX($BD$6:$BD$53,MATCH(AI95,$BM$6:$BM$53,0))</f>
        <v>Ghana</v>
      </c>
      <c r="AW95" s="210"/>
      <c r="AX95" s="171"/>
      <c r="AY95" s="203" t="str">
        <f ca="1">+A94</f>
        <v>Croatia</v>
      </c>
      <c r="AZ95" s="204"/>
      <c r="BA95" s="176"/>
    </row>
    <row r="96" spans="1:118" ht="15.95"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52"/>
      <c r="X96" s="24">
        <f ca="1">Horarios!C96</f>
        <v>46200.958333333336</v>
      </c>
      <c r="Y96" s="25">
        <f ca="1">Horarios!C96</f>
        <v>46200.958333333336</v>
      </c>
      <c r="Z96" s="26" t="str">
        <f>$Z$8</f>
        <v>R3</v>
      </c>
      <c r="AA96" s="27" t="str">
        <f ca="1">A96</f>
        <v>Panama</v>
      </c>
      <c r="AB96" s="49" t="e" cm="1" vm="48">
        <f t="array" aca="1" ref="AB96" ca="1">Ver_flag_local</f>
        <v>#VALUE!</v>
      </c>
      <c r="AC96" s="50">
        <v>1</v>
      </c>
      <c r="AD96" s="51">
        <v>2</v>
      </c>
      <c r="AE96" s="595" t="e" cm="1" vm="45">
        <f t="array" aca="1" ref="AE96" ca="1">Ver_flag_visit</f>
        <v>#VALUE!</v>
      </c>
      <c r="AF96" s="32" t="str">
        <f ca="1">A93</f>
        <v>England</v>
      </c>
      <c r="AG96" s="323">
        <f t="shared" si="284"/>
        <v>1</v>
      </c>
      <c r="AH96" s="195">
        <v>67</v>
      </c>
      <c r="AI96" s="181" t="str">
        <f t="shared" si="288"/>
        <v>3L</v>
      </c>
      <c r="AJ96" s="42">
        <v>3</v>
      </c>
      <c r="AK96" s="602" t="e" cm="1" vm="46">
        <f t="array" aca="1" ref="AK96" ca="1">Ver_flag_visit</f>
        <v>#VALUE!</v>
      </c>
      <c r="AL96" s="37" t="str">
        <f ca="1">IFERROR(INDEX($BD$6:$BD$53,MATCH(AI96,$BN$6:$BN$53,0)),"")</f>
        <v>Croatia</v>
      </c>
      <c r="AM96" s="38">
        <f t="shared" ca="1" si="287"/>
        <v>3</v>
      </c>
      <c r="AN96" s="39">
        <f t="shared" ca="1" si="287"/>
        <v>3</v>
      </c>
      <c r="AO96" s="39">
        <f t="shared" ca="1" si="287"/>
        <v>1</v>
      </c>
      <c r="AP96" s="39">
        <f t="shared" ca="1" si="287"/>
        <v>0</v>
      </c>
      <c r="AQ96" s="39">
        <f t="shared" ca="1" si="287"/>
        <v>2</v>
      </c>
      <c r="AR96" s="39">
        <f t="shared" ca="1" si="287"/>
        <v>5</v>
      </c>
      <c r="AS96" s="39">
        <f t="shared" ca="1" si="287"/>
        <v>6</v>
      </c>
      <c r="AT96" s="43">
        <f t="shared" ca="1" si="287"/>
        <v>-1</v>
      </c>
      <c r="AU96" s="330">
        <f ca="1">INDEX($DL$6:$DL$53,MATCH(AI96,$DP$6:$DP$53,0))</f>
        <v>1</v>
      </c>
      <c r="AV96" s="182" t="str">
        <f ca="1">INDEX($BD$6:$BD$53,MATCH(AI96,$BM$6:$BM$53,0))</f>
        <v>Croatia</v>
      </c>
      <c r="AW96" s="210"/>
      <c r="AX96" s="171"/>
      <c r="AY96" s="201" t="str">
        <f ca="1">+A95</f>
        <v>Ghana</v>
      </c>
      <c r="AZ96" s="202"/>
      <c r="BA96" s="176"/>
    </row>
    <row r="97" spans="1:62" ht="15.95" customHeight="1" thickBot="1">
      <c r="A97" s="16"/>
      <c r="B97" s="16"/>
      <c r="C97" s="16"/>
      <c r="D97" s="16" t="str">
        <f t="shared" si="271"/>
        <v>Visitante</v>
      </c>
      <c r="E97" s="16" t="str">
        <f t="shared" ca="1" si="272"/>
        <v>-</v>
      </c>
      <c r="F97" s="16" t="str">
        <f t="shared" ca="1" si="273"/>
        <v>-</v>
      </c>
      <c r="G97" s="16"/>
      <c r="H97" s="16" t="str">
        <f t="shared" ca="1" si="274"/>
        <v>-</v>
      </c>
      <c r="I97" s="16" t="str">
        <f t="shared" ca="1" si="275"/>
        <v>-</v>
      </c>
      <c r="J97" s="16"/>
      <c r="K97" s="16" t="str">
        <f t="shared" ca="1" si="276"/>
        <v>-</v>
      </c>
      <c r="L97" s="16" t="str">
        <f t="shared" ca="1" si="277"/>
        <v>-</v>
      </c>
      <c r="M97" s="16"/>
      <c r="N97" s="16" t="str">
        <f t="shared" ca="1" si="278"/>
        <v>-</v>
      </c>
      <c r="O97" s="16" t="str">
        <f t="shared" ca="1" si="279"/>
        <v>-</v>
      </c>
      <c r="P97" s="16"/>
      <c r="Q97" s="16" t="str">
        <f t="shared" ca="1" si="280"/>
        <v>-</v>
      </c>
      <c r="R97" s="16" t="str">
        <f t="shared" ca="1" si="281"/>
        <v>-</v>
      </c>
      <c r="S97" s="16"/>
      <c r="T97" s="16" t="str">
        <f t="shared" ca="1" si="282"/>
        <v>-</v>
      </c>
      <c r="U97" s="16" t="str">
        <f t="shared" ca="1" si="283"/>
        <v>-</v>
      </c>
      <c r="V97" s="17"/>
      <c r="W97" s="653"/>
      <c r="X97" s="28">
        <f ca="1">Horarios!C97</f>
        <v>46200.958333333336</v>
      </c>
      <c r="Y97" s="29">
        <f ca="1">Horarios!C97</f>
        <v>46200.958333333336</v>
      </c>
      <c r="Z97" s="30" t="str">
        <f>$Z$8</f>
        <v>R3</v>
      </c>
      <c r="AA97" s="31" t="str">
        <f ca="1">A94</f>
        <v>Croatia</v>
      </c>
      <c r="AB97" s="52" t="e" cm="1" vm="46">
        <f t="array" aca="1" ref="AB97" ca="1">Ver_flag_local</f>
        <v>#VALUE!</v>
      </c>
      <c r="AC97" s="53">
        <v>2</v>
      </c>
      <c r="AD97" s="54">
        <v>3</v>
      </c>
      <c r="AE97" s="596" t="e" cm="1" vm="47">
        <f t="array" aca="1" ref="AE97" ca="1">Ver_flag_visit</f>
        <v>#VALUE!</v>
      </c>
      <c r="AF97" s="33" t="str">
        <f ca="1">A95</f>
        <v>Ghana</v>
      </c>
      <c r="AG97" s="323">
        <f t="shared" si="284"/>
        <v>1</v>
      </c>
      <c r="AH97" s="195">
        <v>68</v>
      </c>
      <c r="AI97" s="181" t="str">
        <f t="shared" si="288"/>
        <v>4L</v>
      </c>
      <c r="AJ97" s="44">
        <v>4</v>
      </c>
      <c r="AK97" s="604" t="e" cm="1" vm="48">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3</v>
      </c>
      <c r="AS97" s="47">
        <f t="shared" ca="1" si="287"/>
        <v>7</v>
      </c>
      <c r="AT97" s="48">
        <f t="shared" ca="1" si="287"/>
        <v>-4</v>
      </c>
      <c r="AU97" s="330">
        <f ca="1">INDEX($DL$6:$DL$53,MATCH(AI97,$DP$6:$DP$53,0))</f>
        <v>1</v>
      </c>
      <c r="AV97" s="182" t="str">
        <f ca="1">INDEX($BD$6:$BD$53,MATCH(AI97,$BM$6:$BM$53,0))</f>
        <v>Panama</v>
      </c>
      <c r="AW97" s="210"/>
      <c r="AX97" s="171"/>
      <c r="AY97" s="205" t="str">
        <f ca="1">+A96</f>
        <v>Panama</v>
      </c>
      <c r="AZ97" s="206"/>
      <c r="BA97" s="176"/>
    </row>
    <row r="98" spans="1:62" ht="15.7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75" thickBot="1">
      <c r="A99" s="16"/>
      <c r="B99" s="16"/>
      <c r="C99" s="16"/>
      <c r="D99" s="16"/>
      <c r="E99" s="16"/>
      <c r="F99" s="16"/>
      <c r="G99" s="16"/>
      <c r="H99" s="16"/>
      <c r="I99" s="16"/>
      <c r="J99" s="16" t="s">
        <v>145</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5" customHeight="1">
      <c r="A100" s="16" t="s">
        <v>146</v>
      </c>
      <c r="B100" s="16"/>
      <c r="C100" s="16"/>
      <c r="D100" s="16"/>
      <c r="E100" s="16"/>
      <c r="F100" s="16"/>
      <c r="G100" s="16"/>
      <c r="H100" s="16"/>
      <c r="I100" s="16"/>
      <c r="J100" s="16" t="s">
        <v>147</v>
      </c>
      <c r="K100" s="16" t="s">
        <v>148</v>
      </c>
      <c r="L100" s="16"/>
      <c r="M100" s="16" t="s">
        <v>149</v>
      </c>
      <c r="N100" s="16" t="s">
        <v>150</v>
      </c>
      <c r="O100" s="16"/>
      <c r="P100" s="16"/>
      <c r="Q100" s="16"/>
      <c r="R100" s="16"/>
      <c r="S100" s="16"/>
      <c r="T100" s="16"/>
      <c r="U100" s="16"/>
      <c r="V100" s="17"/>
      <c r="W100" s="8"/>
      <c r="X100" s="69" t="str">
        <f>X3</f>
        <v>Date</v>
      </c>
      <c r="Y100" s="69" t="str">
        <f>Y3</f>
        <v>Hour</v>
      </c>
      <c r="Z100" s="69" t="s">
        <v>151</v>
      </c>
      <c r="AA100" s="68" t="str">
        <f>AA3</f>
        <v>Home</v>
      </c>
      <c r="AB100" s="67" t="s">
        <v>11</v>
      </c>
      <c r="AC100" s="69" t="str">
        <f>AC3</f>
        <v>Goal</v>
      </c>
      <c r="AD100" s="69" t="str">
        <f>AD3</f>
        <v>Goal</v>
      </c>
      <c r="AE100" s="67" t="s">
        <v>11</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
      </c>
      <c r="AW100" s="151"/>
      <c r="AX100" s="151"/>
      <c r="AY100" s="154"/>
      <c r="AZ100" s="155"/>
      <c r="BA100" s="176"/>
    </row>
    <row r="101" spans="1:62" ht="15.95" customHeight="1" thickBot="1">
      <c r="A101" s="16" t="s">
        <v>85</v>
      </c>
      <c r="B101" s="16" t="s">
        <v>89</v>
      </c>
      <c r="C101" s="16"/>
      <c r="D101" s="16" t="str">
        <f t="shared" ref="D101:D116" ca="1" si="289">IF(AND(OR(AC101="",AD101="")),"W"&amp;AH101,IF(AC101&gt;AD101,AA101,IF(AC101&lt;AD101,AF101,IF(AND(AC101=AD101,AB101=AE101),"W"&amp;AH101,IF(AND(AC101=AD101,OR(AB101="",AE101="")),"W"&amp;AH101,IF(AND(AC101=AD101,AB101&gt;AE101),AA101,AF101))))))</f>
        <v>Czech Republic</v>
      </c>
      <c r="E101" s="16" t="s">
        <v>30</v>
      </c>
      <c r="F101" s="16" t="s">
        <v>90</v>
      </c>
      <c r="G101" s="16" t="s">
        <v>30</v>
      </c>
      <c r="H101" s="16">
        <f t="shared" ref="H101:H112" ca="1" si="290">+SUMIF($BC$6:$BC$53,G101,$BF$6:$BF$53)</f>
        <v>12</v>
      </c>
      <c r="I101" s="16"/>
      <c r="J101" s="16">
        <v>73</v>
      </c>
      <c r="K101" s="16">
        <v>46201.75</v>
      </c>
      <c r="L101" s="16" t="s">
        <v>152</v>
      </c>
      <c r="M101" s="16" t="str">
        <f t="shared" ref="M101:M116" ca="1" si="291">+IF(OR(INDEX($H$101:$H$113,MATCH(E101,$G$101:$G$113,0))=12,$AJ$99=144),INDEX($AL$6:$AL$97,MATCH(A101,$AI$6:$AI$97,0)),A101)</f>
        <v>Czech Republic</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Bosnia and Herzegovina</v>
      </c>
      <c r="O101" s="16"/>
      <c r="P101" s="16"/>
      <c r="Q101" s="16"/>
      <c r="R101" s="16"/>
      <c r="S101" s="16"/>
      <c r="T101" s="16"/>
      <c r="U101" s="16"/>
      <c r="V101" s="17"/>
      <c r="W101" s="658" t="s">
        <v>153</v>
      </c>
      <c r="X101" s="24">
        <f ca="1">Horarios!C101</f>
        <v>46201.875</v>
      </c>
      <c r="Y101" s="25">
        <f ca="1">Horarios!C101</f>
        <v>46201.875</v>
      </c>
      <c r="Z101" s="280">
        <f>AH101</f>
        <v>73</v>
      </c>
      <c r="AA101" s="88" t="str">
        <f t="shared" ref="AA101:AA116" ca="1" si="292">+INDEX($M$101:$M$147,MATCH(AH101,$J$101:$J$147,0))</f>
        <v>Czech Republic</v>
      </c>
      <c r="AB101" s="89"/>
      <c r="AC101" s="51">
        <v>3</v>
      </c>
      <c r="AD101" s="51">
        <v>1</v>
      </c>
      <c r="AE101" s="90"/>
      <c r="AF101" s="91" t="str">
        <f t="shared" ref="AF101:AF116" ca="1" si="293">+INDEX($N$101:$N$147,MATCH(AH101,$J$101:$J$147,0))</f>
        <v>Bosnia and Herzegovina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0</v>
      </c>
      <c r="AV101" s="188"/>
      <c r="AW101" s="214"/>
      <c r="AX101" s="214"/>
      <c r="AY101" s="335" t="str">
        <f ca="1">+IF(OR($H$113&gt;=48,$AJ$99=144),Idiomas!D68,"")</f>
        <v xml:space="preserve">Best 3-placed groups: </v>
      </c>
      <c r="AZ101" s="336" t="str">
        <f ca="1">+IF(OR($H$113&gt;=48,$AJ$99=144),BI112,"")</f>
        <v>ABCEGIKL</v>
      </c>
      <c r="BA101" s="176"/>
    </row>
    <row r="102" spans="1:62" ht="15.95" customHeight="1">
      <c r="A102" s="16" t="s">
        <v>102</v>
      </c>
      <c r="B102" s="16" t="s">
        <v>154</v>
      </c>
      <c r="C102" s="16"/>
      <c r="D102" s="16" t="str">
        <f t="shared" ca="1" si="289"/>
        <v>Brazil</v>
      </c>
      <c r="E102" s="16" t="s">
        <v>117</v>
      </c>
      <c r="F102" s="16" t="s">
        <v>155</v>
      </c>
      <c r="G102" s="16" t="s">
        <v>90</v>
      </c>
      <c r="H102" s="16">
        <f t="shared" ca="1" si="290"/>
        <v>12</v>
      </c>
      <c r="I102" s="16"/>
      <c r="J102" s="16">
        <v>74</v>
      </c>
      <c r="K102" s="16">
        <v>46202.75</v>
      </c>
      <c r="L102" s="16" t="s">
        <v>156</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South Korea</v>
      </c>
      <c r="O102" s="16"/>
      <c r="P102" s="16"/>
      <c r="Q102" s="16"/>
      <c r="R102" s="16"/>
      <c r="S102" s="16"/>
      <c r="T102" s="16"/>
      <c r="U102" s="16"/>
      <c r="V102" s="17"/>
      <c r="W102" s="658"/>
      <c r="X102" s="24">
        <f ca="1">Horarios!C102</f>
        <v>46202.791666666664</v>
      </c>
      <c r="Y102" s="25">
        <f ca="1">Horarios!C102</f>
        <v>46202.791666666664</v>
      </c>
      <c r="Z102" s="280">
        <f t="shared" ref="Z102:Z116" si="296">AH102</f>
        <v>76</v>
      </c>
      <c r="AA102" s="88" t="str">
        <f t="shared" ca="1" si="292"/>
        <v>Brazil</v>
      </c>
      <c r="AB102" s="89"/>
      <c r="AC102" s="92">
        <v>3</v>
      </c>
      <c r="AD102" s="92">
        <v>2</v>
      </c>
      <c r="AE102" s="89"/>
      <c r="AF102" s="91" t="str">
        <f t="shared" ca="1" si="293"/>
        <v>Netherlands</v>
      </c>
      <c r="AG102" s="327">
        <f t="shared" ca="1" si="294"/>
        <v>1</v>
      </c>
      <c r="AH102" s="195">
        <v>76</v>
      </c>
      <c r="AI102" s="182">
        <v>1</v>
      </c>
      <c r="AJ102" s="80">
        <v>1</v>
      </c>
      <c r="AK102" s="605" t="e" cm="1" vm="19">
        <f t="array" aca="1" ref="AK102" ca="1">Ver_flag_visit</f>
        <v>#VALUE!</v>
      </c>
      <c r="AL102" s="81" t="str">
        <f t="shared" ref="AL102:AL113" ca="1" si="297">+IF($H$113&gt;=48,INDEX($BD$58:$BD$69,MATCH(AI102,$BN$58:$BN$69,0)),BB58)</f>
        <v>Ivory Coast</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6</v>
      </c>
      <c r="AS102" s="83">
        <f t="shared" ca="1" si="298"/>
        <v>5</v>
      </c>
      <c r="AT102" s="84">
        <f t="shared" ca="1" si="298"/>
        <v>1</v>
      </c>
      <c r="AU102" s="330">
        <f t="shared" ref="AU102:AU113" ca="1" si="299">IF($H$113=144,INDEX($DL$58:$DL$69,MATCH(AI102,$DP$58:$DP$69,0)),"")</f>
        <v>1</v>
      </c>
      <c r="AV102" s="182" t="str">
        <f t="shared" ref="AV102:AV113" ca="1" si="300">INDEX($BD$58:$BD$69,MATCH(AI102,$BM$58:$BM$69,0))</f>
        <v>Ivory Coast</v>
      </c>
      <c r="AW102" s="215"/>
      <c r="AX102" s="170"/>
      <c r="AY102" s="154"/>
      <c r="AZ102" s="155"/>
      <c r="BA102" s="176"/>
      <c r="BE102" t="s">
        <v>157</v>
      </c>
      <c r="BF102" t="s">
        <v>158</v>
      </c>
      <c r="BG102" t="s">
        <v>159</v>
      </c>
      <c r="BI102" t="s">
        <v>160</v>
      </c>
    </row>
    <row r="103" spans="1:62" ht="15.95" customHeight="1">
      <c r="A103" s="16" t="s">
        <v>106</v>
      </c>
      <c r="B103" s="16" t="s">
        <v>94</v>
      </c>
      <c r="C103" s="16"/>
      <c r="D103" s="16" t="str">
        <f t="shared" ca="1" si="289"/>
        <v>Germany</v>
      </c>
      <c r="E103" s="16" t="s">
        <v>126</v>
      </c>
      <c r="F103" s="16" t="s">
        <v>99</v>
      </c>
      <c r="G103" s="16" t="s">
        <v>99</v>
      </c>
      <c r="H103" s="16">
        <f t="shared" ca="1" si="290"/>
        <v>12</v>
      </c>
      <c r="I103" s="16"/>
      <c r="J103" s="16">
        <v>75</v>
      </c>
      <c r="K103" s="16">
        <v>46202.75</v>
      </c>
      <c r="L103" s="16" t="s">
        <v>161</v>
      </c>
      <c r="M103" s="16" t="str">
        <f t="shared" ca="1" si="291"/>
        <v>Sweden</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Morocco</v>
      </c>
      <c r="O103" s="16"/>
      <c r="P103" s="16"/>
      <c r="Q103" s="16"/>
      <c r="R103" s="16"/>
      <c r="S103" s="16"/>
      <c r="T103" s="16"/>
      <c r="U103" s="16"/>
      <c r="V103" s="17"/>
      <c r="W103" s="658"/>
      <c r="X103" s="24">
        <f ca="1">Horarios!C103</f>
        <v>46202.9375</v>
      </c>
      <c r="Y103" s="25">
        <f ca="1">Horarios!C103</f>
        <v>46202.9375</v>
      </c>
      <c r="Z103" s="280">
        <f t="shared" si="296"/>
        <v>74</v>
      </c>
      <c r="AA103" s="88" t="str">
        <f t="shared" ca="1" si="292"/>
        <v>Germany</v>
      </c>
      <c r="AB103" s="89"/>
      <c r="AC103" s="92">
        <v>3</v>
      </c>
      <c r="AD103" s="92">
        <v>1</v>
      </c>
      <c r="AE103" s="89"/>
      <c r="AF103" s="91" t="str">
        <f t="shared" ca="1" si="293"/>
        <v>South Korea</v>
      </c>
      <c r="AG103" s="327">
        <f t="shared" ca="1" si="294"/>
        <v>1</v>
      </c>
      <c r="AH103" s="195">
        <v>74</v>
      </c>
      <c r="AI103" s="182">
        <v>2</v>
      </c>
      <c r="AJ103" s="42">
        <v>2</v>
      </c>
      <c r="AK103" s="602" t="e" cm="1" vm="26">
        <f t="array" aca="1" ref="AK103" ca="1">Ver_flag_visit</f>
        <v>#VALUE!</v>
      </c>
      <c r="AL103" s="85" t="str">
        <f t="shared" ca="1" si="297"/>
        <v>Egypt</v>
      </c>
      <c r="AM103" s="589">
        <f t="shared" ref="AM103:AM113" ca="1" si="301">+IF($H$113&gt;=48,INDEX($BE$58:$BN$69,MATCH($AL103,$BD$58:$BD$69,0),MATCH(AM$5,$BE$57:$BN$57,0)),$BB59)</f>
        <v>3</v>
      </c>
      <c r="AN103" s="86">
        <f t="shared" ref="AN103:AT103" ca="1" si="302">+IF($H$113&gt;=48,INDEX($BE$58:$BN$69,MATCH($AL103,$BD$58:$BD$69,0),MATCH(AN$5,$BE$57:$BN$57,0)),$BB59)</f>
        <v>3</v>
      </c>
      <c r="AO103" s="86">
        <f t="shared" ca="1" si="302"/>
        <v>1</v>
      </c>
      <c r="AP103" s="86">
        <f t="shared" ca="1" si="302"/>
        <v>0</v>
      </c>
      <c r="AQ103" s="86">
        <f t="shared" ca="1" si="302"/>
        <v>2</v>
      </c>
      <c r="AR103" s="86">
        <f t="shared" ca="1" si="302"/>
        <v>5</v>
      </c>
      <c r="AS103" s="86">
        <f t="shared" ca="1" si="302"/>
        <v>4</v>
      </c>
      <c r="AT103" s="87">
        <f t="shared" ca="1" si="302"/>
        <v>1</v>
      </c>
      <c r="AU103" s="330">
        <f t="shared" ca="1" si="299"/>
        <v>1</v>
      </c>
      <c r="AV103" s="182" t="str">
        <f t="shared" ca="1" si="300"/>
        <v>Egypt</v>
      </c>
      <c r="AW103" s="215"/>
      <c r="AX103" s="170"/>
      <c r="AY103" s="276"/>
      <c r="AZ103" s="279" t="str">
        <f t="shared" ref="AZ103:AZ110" ca="1" si="303">+IF(OR($H$113&gt;=48,$AJ$99=144),BF117&amp;" - "&amp;BG117,"")</f>
        <v>1A - 3E</v>
      </c>
      <c r="BA103" s="176"/>
      <c r="BF103" t="str">
        <f t="shared" ref="BF103:BF110" ca="1" si="304">IFERROR(INDEX($BC$6:$BC$53,MATCH(AL102,$BD$6:$BD$53,0)),"")</f>
        <v>E</v>
      </c>
      <c r="BG103">
        <f t="shared" ref="BG103:BG110" ca="1" si="305">COUNTIF($BF$103:$BF$110,"&lt;="&amp;BF103)</f>
        <v>4</v>
      </c>
      <c r="BI103">
        <v>1</v>
      </c>
      <c r="BJ103" t="str">
        <f t="shared" ref="BJ103:BJ110" ca="1" si="306">IFERROR(INDEX($BF$103:$BF$110,MATCH(BI103,$BG$103:$BG$110,0)),"Grupo")</f>
        <v>A</v>
      </c>
    </row>
    <row r="104" spans="1:62" ht="15.95" customHeight="1">
      <c r="A104" s="16" t="s">
        <v>93</v>
      </c>
      <c r="B104" s="16" t="s">
        <v>107</v>
      </c>
      <c r="C104" s="16"/>
      <c r="D104" s="16" t="str">
        <f t="shared" ca="1" si="289"/>
        <v>Morocco</v>
      </c>
      <c r="E104" s="16" t="s">
        <v>99</v>
      </c>
      <c r="F104" s="16" t="s">
        <v>126</v>
      </c>
      <c r="G104" s="16" t="s">
        <v>108</v>
      </c>
      <c r="H104" s="16">
        <f t="shared" ca="1" si="290"/>
        <v>12</v>
      </c>
      <c r="I104" s="16"/>
      <c r="J104" s="16">
        <v>76</v>
      </c>
      <c r="K104" s="16">
        <v>46202.75</v>
      </c>
      <c r="L104" s="16" t="s">
        <v>162</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Netherlands</v>
      </c>
      <c r="O104" s="16"/>
      <c r="P104" s="16"/>
      <c r="Q104" s="16"/>
      <c r="R104" s="16"/>
      <c r="S104" s="16"/>
      <c r="T104" s="16"/>
      <c r="U104" s="16"/>
      <c r="V104" s="17"/>
      <c r="W104" s="658"/>
      <c r="X104" s="24">
        <f ca="1">Horarios!C104</f>
        <v>46203.125</v>
      </c>
      <c r="Y104" s="25">
        <f ca="1">Horarios!C104</f>
        <v>46203.125</v>
      </c>
      <c r="Z104" s="280">
        <f t="shared" si="296"/>
        <v>75</v>
      </c>
      <c r="AA104" s="88" t="str">
        <f t="shared" ca="1" si="292"/>
        <v>Sweden</v>
      </c>
      <c r="AB104" s="89"/>
      <c r="AC104" s="92">
        <v>1</v>
      </c>
      <c r="AD104" s="92">
        <v>2</v>
      </c>
      <c r="AE104" s="89"/>
      <c r="AF104" s="91" t="str">
        <f t="shared" ca="1" si="293"/>
        <v>Morocco</v>
      </c>
      <c r="AG104" s="327">
        <f t="shared" ca="1" si="294"/>
        <v>1</v>
      </c>
      <c r="AH104" s="195">
        <v>75</v>
      </c>
      <c r="AI104" s="182">
        <v>3</v>
      </c>
      <c r="AJ104" s="42">
        <v>3</v>
      </c>
      <c r="AK104" s="602" t="e" cm="1" vm="8">
        <f t="array" aca="1" ref="AK104" ca="1">Ver_flag_visit</f>
        <v>#VALUE!</v>
      </c>
      <c r="AL104" s="85" t="str">
        <f t="shared" ca="1" si="297"/>
        <v>Switzerland</v>
      </c>
      <c r="AM104" s="589">
        <f t="shared" ca="1" si="301"/>
        <v>3</v>
      </c>
      <c r="AN104" s="86">
        <f t="shared" ref="AN104:AT104" ca="1" si="307">+IF($H$113&gt;=48,INDEX($BE$58:$BN$69,MATCH($AL104,$BD$58:$BD$69,0),MATCH(AN$5,$BE$57:$BN$57,0)),$BB60)</f>
        <v>3</v>
      </c>
      <c r="AO104" s="86">
        <f t="shared" ca="1" si="307"/>
        <v>0</v>
      </c>
      <c r="AP104" s="86">
        <f t="shared" ca="1" si="307"/>
        <v>3</v>
      </c>
      <c r="AQ104" s="86">
        <f t="shared" ca="1" si="307"/>
        <v>0</v>
      </c>
      <c r="AR104" s="86">
        <f t="shared" ca="1" si="307"/>
        <v>3</v>
      </c>
      <c r="AS104" s="86">
        <f t="shared" ca="1" si="307"/>
        <v>3</v>
      </c>
      <c r="AT104" s="87">
        <f t="shared" ca="1" si="307"/>
        <v>0</v>
      </c>
      <c r="AU104" s="330">
        <f t="shared" ca="1" si="299"/>
        <v>1</v>
      </c>
      <c r="AV104" s="182" t="str">
        <f t="shared" ca="1" si="300"/>
        <v>Switzerland</v>
      </c>
      <c r="AW104" s="215"/>
      <c r="AX104" s="170"/>
      <c r="AY104" s="276"/>
      <c r="AZ104" s="279" t="str">
        <f t="shared" ca="1" si="303"/>
        <v>1B - 3G</v>
      </c>
      <c r="BA104" s="176"/>
      <c r="BF104" t="str">
        <f t="shared" ca="1" si="304"/>
        <v>G</v>
      </c>
      <c r="BG104">
        <f t="shared" ca="1" si="305"/>
        <v>5</v>
      </c>
      <c r="BI104">
        <v>2</v>
      </c>
      <c r="BJ104" t="str">
        <f t="shared" ca="1" si="306"/>
        <v>B</v>
      </c>
    </row>
    <row r="105" spans="1:62" ht="15.95" customHeight="1">
      <c r="A105" s="16" t="s">
        <v>120</v>
      </c>
      <c r="B105" s="16" t="s">
        <v>163</v>
      </c>
      <c r="C105" s="16"/>
      <c r="D105" s="16" t="str">
        <f t="shared" ca="1" si="289"/>
        <v>Senegal</v>
      </c>
      <c r="E105" s="16" t="s">
        <v>141</v>
      </c>
      <c r="F105" s="16" t="s">
        <v>155</v>
      </c>
      <c r="G105" s="16" t="s">
        <v>117</v>
      </c>
      <c r="H105" s="16">
        <f t="shared" ca="1" si="290"/>
        <v>12</v>
      </c>
      <c r="I105" s="16"/>
      <c r="J105" s="16">
        <v>77</v>
      </c>
      <c r="K105" s="16">
        <v>46203.75</v>
      </c>
      <c r="L105" s="16" t="s">
        <v>164</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Scotland</v>
      </c>
      <c r="O105" s="16"/>
      <c r="P105" s="16"/>
      <c r="Q105" s="16"/>
      <c r="R105" s="16"/>
      <c r="S105" s="16"/>
      <c r="T105" s="16"/>
      <c r="U105" s="16"/>
      <c r="V105" s="17"/>
      <c r="W105" s="658"/>
      <c r="X105" s="24">
        <f ca="1">Horarios!C105</f>
        <v>46203.791666666664</v>
      </c>
      <c r="Y105" s="25">
        <f ca="1">Horarios!C105</f>
        <v>46203.791666666664</v>
      </c>
      <c r="Z105" s="280">
        <f t="shared" si="296"/>
        <v>78</v>
      </c>
      <c r="AA105" s="88" t="str">
        <f t="shared" ca="1" si="292"/>
        <v>Ecuador</v>
      </c>
      <c r="AB105" s="89"/>
      <c r="AC105" s="92">
        <v>1</v>
      </c>
      <c r="AD105" s="92">
        <v>2</v>
      </c>
      <c r="AE105" s="89"/>
      <c r="AF105" s="91" t="str">
        <f t="shared" ca="1" si="293"/>
        <v>Senegal</v>
      </c>
      <c r="AG105" s="327">
        <f t="shared" ca="1" si="294"/>
        <v>1</v>
      </c>
      <c r="AH105" s="195">
        <v>78</v>
      </c>
      <c r="AI105" s="182">
        <v>4</v>
      </c>
      <c r="AJ105" s="42">
        <v>4</v>
      </c>
      <c r="AK105" s="602" t="e" cm="1" vm="46">
        <f t="array" aca="1" ref="AK105" ca="1">Ver_flag_visit</f>
        <v>#VALUE!</v>
      </c>
      <c r="AL105" s="85" t="str">
        <f t="shared" ca="1" si="297"/>
        <v>Croatia</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5</v>
      </c>
      <c r="AS105" s="86">
        <f t="shared" ca="1" si="308"/>
        <v>6</v>
      </c>
      <c r="AT105" s="87">
        <f t="shared" ca="1" si="308"/>
        <v>-1</v>
      </c>
      <c r="AU105" s="330">
        <f t="shared" ca="1" si="299"/>
        <v>1</v>
      </c>
      <c r="AV105" s="182" t="str">
        <f t="shared" ca="1" si="300"/>
        <v>Croatia</v>
      </c>
      <c r="AW105" s="215"/>
      <c r="AX105" s="170"/>
      <c r="AY105" s="276"/>
      <c r="AZ105" s="279" t="str">
        <f t="shared" ca="1" si="303"/>
        <v>1D - 3B</v>
      </c>
      <c r="BA105" s="176"/>
      <c r="BF105" t="str">
        <f t="shared" ca="1" si="304"/>
        <v>B</v>
      </c>
      <c r="BG105">
        <f t="shared" ca="1" si="305"/>
        <v>2</v>
      </c>
      <c r="BI105">
        <v>3</v>
      </c>
      <c r="BJ105" t="str">
        <f t="shared" ca="1" si="306"/>
        <v>C</v>
      </c>
    </row>
    <row r="106" spans="1:62" ht="15.95" customHeight="1">
      <c r="A106" s="16" t="s">
        <v>103</v>
      </c>
      <c r="B106" s="16" t="s">
        <v>121</v>
      </c>
      <c r="C106" s="16"/>
      <c r="D106" s="16" t="str">
        <f t="shared" ca="1" si="289"/>
        <v>France</v>
      </c>
      <c r="E106" s="16" t="s">
        <v>117</v>
      </c>
      <c r="F106" s="16" t="s">
        <v>141</v>
      </c>
      <c r="G106" s="16" t="s">
        <v>126</v>
      </c>
      <c r="H106" s="16">
        <f t="shared" ca="1" si="290"/>
        <v>12</v>
      </c>
      <c r="I106" s="16"/>
      <c r="J106" s="16">
        <v>78</v>
      </c>
      <c r="K106" s="16">
        <v>46203.75</v>
      </c>
      <c r="L106" s="16" t="s">
        <v>165</v>
      </c>
      <c r="M106" s="16" t="str">
        <f t="shared" ca="1" si="291"/>
        <v>Ecuador</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Senegal</v>
      </c>
      <c r="O106" s="16"/>
      <c r="P106" s="16"/>
      <c r="Q106" s="16"/>
      <c r="R106" s="16"/>
      <c r="S106" s="16"/>
      <c r="T106" s="16"/>
      <c r="U106" s="16"/>
      <c r="V106" s="17"/>
      <c r="W106" s="658"/>
      <c r="X106" s="24">
        <f ca="1">Horarios!C106</f>
        <v>46203.958333333336</v>
      </c>
      <c r="Y106" s="25">
        <f ca="1">Horarios!C106</f>
        <v>46203.958333333336</v>
      </c>
      <c r="Z106" s="280">
        <f t="shared" si="296"/>
        <v>77</v>
      </c>
      <c r="AA106" s="88" t="str">
        <f t="shared" ca="1" si="292"/>
        <v>France</v>
      </c>
      <c r="AB106" s="89"/>
      <c r="AC106" s="92">
        <v>3</v>
      </c>
      <c r="AD106" s="92">
        <v>1</v>
      </c>
      <c r="AE106" s="89"/>
      <c r="AF106" s="91" t="str">
        <f t="shared" ca="1" si="293"/>
        <v>Scotland</v>
      </c>
      <c r="AG106" s="327">
        <f t="shared" ca="1" si="294"/>
        <v>1</v>
      </c>
      <c r="AH106" s="195">
        <v>77</v>
      </c>
      <c r="AI106" s="182">
        <v>5</v>
      </c>
      <c r="AJ106" s="42">
        <v>5</v>
      </c>
      <c r="AK106" s="602" t="e" cm="1" vm="36">
        <f t="array" aca="1" ref="AK106" ca="1">Ver_flag_visit</f>
        <v>#VALUE!</v>
      </c>
      <c r="AL106" s="85" t="str">
        <f t="shared" ca="1" si="297"/>
        <v>Norway</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4</v>
      </c>
      <c r="AS106" s="86">
        <f t="shared" ca="1" si="309"/>
        <v>5</v>
      </c>
      <c r="AT106" s="87">
        <f t="shared" ca="1" si="309"/>
        <v>-1</v>
      </c>
      <c r="AU106" s="330">
        <f t="shared" ca="1" si="299"/>
        <v>1</v>
      </c>
      <c r="AV106" s="182" t="str">
        <f t="shared" ca="1" si="300"/>
        <v>Norway</v>
      </c>
      <c r="AW106" s="215">
        <v>5</v>
      </c>
      <c r="AX106" s="170"/>
      <c r="AY106" s="276"/>
      <c r="AZ106" s="279" t="str">
        <f t="shared" ca="1" si="303"/>
        <v>1E - 3A</v>
      </c>
      <c r="BA106" s="176"/>
      <c r="BF106" t="str">
        <f t="shared" ca="1" si="304"/>
        <v>L</v>
      </c>
      <c r="BG106">
        <f t="shared" ca="1" si="305"/>
        <v>8</v>
      </c>
      <c r="BI106">
        <v>4</v>
      </c>
      <c r="BJ106" t="str">
        <f t="shared" ca="1" si="306"/>
        <v>E</v>
      </c>
    </row>
    <row r="107" spans="1:62" ht="15.95" customHeight="1">
      <c r="A107" s="16" t="s">
        <v>84</v>
      </c>
      <c r="B107" s="16" t="s">
        <v>166</v>
      </c>
      <c r="C107" s="16"/>
      <c r="D107" s="16" t="str">
        <f t="shared" ca="1" si="289"/>
        <v>Mexico</v>
      </c>
      <c r="E107" s="16" t="s">
        <v>30</v>
      </c>
      <c r="F107" s="16" t="s">
        <v>155</v>
      </c>
      <c r="G107" s="16" t="s">
        <v>135</v>
      </c>
      <c r="H107" s="16">
        <f t="shared" ca="1" si="290"/>
        <v>12</v>
      </c>
      <c r="I107" s="16"/>
      <c r="J107" s="16">
        <v>79</v>
      </c>
      <c r="K107" s="16">
        <v>46203.75</v>
      </c>
      <c r="L107" s="16" t="s">
        <v>167</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Ivory Coast</v>
      </c>
      <c r="O107" s="16"/>
      <c r="P107" s="16"/>
      <c r="Q107" s="16"/>
      <c r="R107" s="16"/>
      <c r="S107" s="16"/>
      <c r="T107" s="16"/>
      <c r="U107" s="16"/>
      <c r="V107" s="17"/>
      <c r="W107" s="658"/>
      <c r="X107" s="24">
        <f ca="1">Horarios!C107</f>
        <v>46204.125</v>
      </c>
      <c r="Y107" s="25">
        <f ca="1">Horarios!C107</f>
        <v>46204.125</v>
      </c>
      <c r="Z107" s="280">
        <f t="shared" si="296"/>
        <v>79</v>
      </c>
      <c r="AA107" s="88" t="str">
        <f t="shared" ca="1" si="292"/>
        <v>Mexico</v>
      </c>
      <c r="AB107" s="89"/>
      <c r="AC107" s="92">
        <v>2</v>
      </c>
      <c r="AD107" s="92">
        <v>1</v>
      </c>
      <c r="AE107" s="89"/>
      <c r="AF107" s="91" t="str">
        <f t="shared" ca="1" si="293"/>
        <v>Ivory Coast</v>
      </c>
      <c r="AG107" s="327">
        <f t="shared" ca="1" si="294"/>
        <v>1</v>
      </c>
      <c r="AH107" s="195">
        <v>79</v>
      </c>
      <c r="AI107" s="182">
        <v>6</v>
      </c>
      <c r="AJ107" s="42">
        <v>6</v>
      </c>
      <c r="AK107" s="602" t="e" cm="1" vm="42">
        <f t="array" aca="1" ref="AK107" ca="1">Ver_flag_visit</f>
        <v>#VALUE!</v>
      </c>
      <c r="AL107" s="85" t="str">
        <f t="shared" ca="1" si="297"/>
        <v>DR Congo</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4</v>
      </c>
      <c r="AS107" s="86">
        <f t="shared" ca="1" si="310"/>
        <v>6</v>
      </c>
      <c r="AT107" s="87">
        <f t="shared" ca="1" si="310"/>
        <v>-2</v>
      </c>
      <c r="AU107" s="330">
        <f t="shared" ca="1" si="299"/>
        <v>1</v>
      </c>
      <c r="AV107" s="182" t="str">
        <f ca="1">INDEX($BD$58:$BD$69,MATCH(AI107,$BM$58:$BM$69,0))</f>
        <v>DR Congo</v>
      </c>
      <c r="AW107" s="215">
        <v>6</v>
      </c>
      <c r="AX107" s="170"/>
      <c r="AY107" s="276"/>
      <c r="AZ107" s="279" t="str">
        <f t="shared" ca="1" si="303"/>
        <v>1G - 3I</v>
      </c>
      <c r="BA107" s="176"/>
      <c r="BF107" t="str">
        <f t="shared" ca="1" si="304"/>
        <v>I</v>
      </c>
      <c r="BG107">
        <f t="shared" ca="1" si="305"/>
        <v>6</v>
      </c>
      <c r="BI107">
        <v>5</v>
      </c>
      <c r="BJ107" t="str">
        <f t="shared" ca="1" si="306"/>
        <v>G</v>
      </c>
    </row>
    <row r="108" spans="1:62" ht="15.95" customHeight="1">
      <c r="A108" s="16" t="s">
        <v>133</v>
      </c>
      <c r="B108" s="16" t="s">
        <v>168</v>
      </c>
      <c r="C108" s="16"/>
      <c r="D108" s="16" t="str">
        <f t="shared" ca="1" si="289"/>
        <v>England</v>
      </c>
      <c r="E108" s="16" t="s">
        <v>144</v>
      </c>
      <c r="F108" s="16" t="s">
        <v>155</v>
      </c>
      <c r="G108" s="16" t="s">
        <v>140</v>
      </c>
      <c r="H108" s="16">
        <f t="shared" ca="1" si="290"/>
        <v>12</v>
      </c>
      <c r="I108" s="16"/>
      <c r="J108" s="16">
        <v>80</v>
      </c>
      <c r="K108" s="16">
        <v>46204.75</v>
      </c>
      <c r="L108" s="16" t="s">
        <v>169</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DR Congo</v>
      </c>
      <c r="O108" s="16"/>
      <c r="P108" s="16"/>
      <c r="Q108" s="16"/>
      <c r="R108" s="16"/>
      <c r="S108" s="16"/>
      <c r="T108" s="16"/>
      <c r="U108" s="16"/>
      <c r="V108" s="17"/>
      <c r="W108" s="658"/>
      <c r="X108" s="24">
        <f ca="1">Horarios!C108</f>
        <v>46204.75</v>
      </c>
      <c r="Y108" s="25">
        <f ca="1">Horarios!C108</f>
        <v>46204.75</v>
      </c>
      <c r="Z108" s="280">
        <f t="shared" si="296"/>
        <v>80</v>
      </c>
      <c r="AA108" s="88" t="str">
        <f t="shared" ca="1" si="292"/>
        <v>England</v>
      </c>
      <c r="AB108" s="89"/>
      <c r="AC108" s="92">
        <v>1</v>
      </c>
      <c r="AD108" s="92">
        <v>0</v>
      </c>
      <c r="AE108" s="89"/>
      <c r="AF108" s="91" t="str">
        <f t="shared" ca="1" si="293"/>
        <v>DR Congo</v>
      </c>
      <c r="AG108" s="327">
        <f t="shared" ca="1" si="294"/>
        <v>1</v>
      </c>
      <c r="AH108" s="195">
        <v>80</v>
      </c>
      <c r="AI108" s="182">
        <v>7</v>
      </c>
      <c r="AJ108" s="42">
        <v>7</v>
      </c>
      <c r="AK108" s="602" t="e" cm="1" vm="12">
        <f t="array" aca="1" ref="AK108" ca="1">Ver_flag_visit</f>
        <v>#VALUE!</v>
      </c>
      <c r="AL108" s="85" t="str">
        <f t="shared" ca="1" si="297"/>
        <v>Scotland</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3</v>
      </c>
      <c r="AS108" s="86">
        <f t="shared" ca="1" si="311"/>
        <v>5</v>
      </c>
      <c r="AT108" s="87">
        <f t="shared" ca="1" si="311"/>
        <v>-2</v>
      </c>
      <c r="AU108" s="330">
        <f t="shared" ca="1" si="299"/>
        <v>1</v>
      </c>
      <c r="AV108" s="182" t="str">
        <f t="shared" ca="1" si="300"/>
        <v>Scotland</v>
      </c>
      <c r="AW108" s="215"/>
      <c r="AX108" s="170"/>
      <c r="AY108" s="276"/>
      <c r="AZ108" s="279" t="str">
        <f t="shared" ca="1" si="303"/>
        <v>1I - 3C</v>
      </c>
      <c r="BA108" s="176"/>
      <c r="BF108" t="str">
        <f t="shared" ca="1" si="304"/>
        <v>K</v>
      </c>
      <c r="BG108">
        <f t="shared" ca="1" si="305"/>
        <v>7</v>
      </c>
      <c r="BI108">
        <v>6</v>
      </c>
      <c r="BJ108" t="str">
        <f t="shared" ca="1" si="306"/>
        <v>I</v>
      </c>
    </row>
    <row r="109" spans="1:62" ht="15.95" customHeight="1">
      <c r="A109" s="16" t="s">
        <v>97</v>
      </c>
      <c r="B109" s="16" t="s">
        <v>170</v>
      </c>
      <c r="C109" s="16"/>
      <c r="D109" s="16" t="str">
        <f t="shared" ca="1" si="289"/>
        <v>Belgium</v>
      </c>
      <c r="E109" s="16" t="s">
        <v>108</v>
      </c>
      <c r="F109" s="16" t="s">
        <v>155</v>
      </c>
      <c r="G109" s="16" t="s">
        <v>141</v>
      </c>
      <c r="H109" s="16">
        <f t="shared" ca="1" si="290"/>
        <v>12</v>
      </c>
      <c r="I109" s="16"/>
      <c r="J109" s="16">
        <v>81</v>
      </c>
      <c r="K109" s="16">
        <v>46204.75</v>
      </c>
      <c r="L109" s="16" t="s">
        <v>171</v>
      </c>
      <c r="M109" s="16" t="str">
        <f t="shared" ca="1" si="291"/>
        <v>Turkey</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Switzerland</v>
      </c>
      <c r="O109" s="16"/>
      <c r="P109" s="16"/>
      <c r="Q109" s="16"/>
      <c r="R109" s="16"/>
      <c r="S109" s="16"/>
      <c r="T109" s="16"/>
      <c r="U109" s="16"/>
      <c r="V109" s="17"/>
      <c r="W109" s="658"/>
      <c r="X109" s="24">
        <f ca="1">Horarios!C109</f>
        <v>46204.916666666664</v>
      </c>
      <c r="Y109" s="25">
        <f ca="1">Horarios!C109</f>
        <v>46204.916666666664</v>
      </c>
      <c r="Z109" s="280">
        <f t="shared" si="296"/>
        <v>82</v>
      </c>
      <c r="AA109" s="88" t="str">
        <f t="shared" ca="1" si="292"/>
        <v>Belgium</v>
      </c>
      <c r="AB109" s="89"/>
      <c r="AC109" s="92">
        <v>2</v>
      </c>
      <c r="AD109" s="92">
        <v>0</v>
      </c>
      <c r="AE109" s="89"/>
      <c r="AF109" s="91" t="str">
        <f t="shared" ca="1" si="293"/>
        <v>Norway</v>
      </c>
      <c r="AG109" s="327">
        <f t="shared" ca="1" si="294"/>
        <v>1</v>
      </c>
      <c r="AH109" s="195">
        <v>82</v>
      </c>
      <c r="AI109" s="182">
        <v>8</v>
      </c>
      <c r="AJ109" s="42">
        <v>8</v>
      </c>
      <c r="AK109" s="602" t="e" cm="1" vm="3">
        <f t="array" aca="1" ref="AK109" ca="1">Ver_flag_visit</f>
        <v>#VALUE!</v>
      </c>
      <c r="AL109" s="85" t="str">
        <f t="shared" ca="1" si="297"/>
        <v>South Korea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1</v>
      </c>
      <c r="AS109" s="86">
        <f t="shared" ca="1" si="312"/>
        <v>3</v>
      </c>
      <c r="AT109" s="87">
        <f t="shared" ca="1" si="312"/>
        <v>-2</v>
      </c>
      <c r="AU109" s="330">
        <f t="shared" ca="1" si="299"/>
        <v>1</v>
      </c>
      <c r="AV109" s="182" t="str">
        <f t="shared" ca="1" si="300"/>
        <v>South Korea</v>
      </c>
      <c r="AW109" s="215"/>
      <c r="AX109" s="170"/>
      <c r="AY109" s="276"/>
      <c r="AZ109" s="279" t="str">
        <f t="shared" ca="1" si="303"/>
        <v>1K - 3L</v>
      </c>
      <c r="BA109" s="176"/>
      <c r="BF109" t="str">
        <f t="shared" ca="1" si="304"/>
        <v>C</v>
      </c>
      <c r="BG109">
        <f t="shared" ca="1" si="305"/>
        <v>3</v>
      </c>
      <c r="BI109">
        <v>7</v>
      </c>
      <c r="BJ109" t="str">
        <f t="shared" ca="1" si="306"/>
        <v>K</v>
      </c>
    </row>
    <row r="110" spans="1:62" ht="15.95" customHeight="1">
      <c r="A110" s="16" t="s">
        <v>111</v>
      </c>
      <c r="B110" s="16" t="s">
        <v>172</v>
      </c>
      <c r="C110" s="16"/>
      <c r="D110" s="16" t="str">
        <f t="shared" ca="1" si="289"/>
        <v>Turkey</v>
      </c>
      <c r="E110" s="16" t="s">
        <v>135</v>
      </c>
      <c r="F110" s="16" t="s">
        <v>155</v>
      </c>
      <c r="G110" s="16" t="s">
        <v>142</v>
      </c>
      <c r="H110" s="16">
        <f t="shared" ca="1" si="290"/>
        <v>12</v>
      </c>
      <c r="I110" s="16"/>
      <c r="J110" s="16">
        <v>82</v>
      </c>
      <c r="K110" s="16">
        <v>46204.75</v>
      </c>
      <c r="L110" s="16" t="s">
        <v>173</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Norway</v>
      </c>
      <c r="O110" s="16"/>
      <c r="P110" s="16"/>
      <c r="Q110" s="16"/>
      <c r="R110" s="16"/>
      <c r="S110" s="16"/>
      <c r="T110" s="16"/>
      <c r="U110" s="16"/>
      <c r="V110" s="17"/>
      <c r="W110" s="658"/>
      <c r="X110" s="24">
        <f ca="1">Horarios!C110</f>
        <v>46205.083333333336</v>
      </c>
      <c r="Y110" s="25">
        <f ca="1">Horarios!C110</f>
        <v>46205.083333333336</v>
      </c>
      <c r="Z110" s="280">
        <f t="shared" si="296"/>
        <v>81</v>
      </c>
      <c r="AA110" s="88" t="str">
        <f t="shared" ca="1" si="292"/>
        <v>Turkey</v>
      </c>
      <c r="AB110" s="89"/>
      <c r="AC110" s="92">
        <v>3</v>
      </c>
      <c r="AD110" s="92">
        <v>1</v>
      </c>
      <c r="AE110" s="89"/>
      <c r="AF110" s="91" t="str">
        <f t="shared" ca="1" si="293"/>
        <v>Switzerland</v>
      </c>
      <c r="AG110" s="327">
        <f t="shared" ca="1" si="294"/>
        <v>1</v>
      </c>
      <c r="AH110" s="195">
        <v>81</v>
      </c>
      <c r="AI110" s="182">
        <v>9</v>
      </c>
      <c r="AJ110" s="42">
        <v>9</v>
      </c>
      <c r="AK110" s="602" t="e" cm="1" vm="38">
        <f t="array" aca="1" ref="AK110" ca="1">Ver_flag_visit</f>
        <v>#VALUE!</v>
      </c>
      <c r="AL110" s="85" t="str">
        <f t="shared" ca="1" si="297"/>
        <v>Algeria</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3</v>
      </c>
      <c r="AS110" s="86">
        <f t="shared" ca="1" si="313"/>
        <v>6</v>
      </c>
      <c r="AT110" s="87">
        <f t="shared" ca="1" si="313"/>
        <v>-3</v>
      </c>
      <c r="AU110" s="330">
        <f t="shared" ca="1" si="299"/>
        <v>1</v>
      </c>
      <c r="AV110" s="182" t="str">
        <f t="shared" ca="1" si="300"/>
        <v>Algeria</v>
      </c>
      <c r="AW110" s="215"/>
      <c r="AX110" s="170"/>
      <c r="AY110" s="276"/>
      <c r="AZ110" s="279" t="str">
        <f t="shared" ca="1" si="303"/>
        <v>1L - 3K</v>
      </c>
      <c r="BA110" s="176"/>
      <c r="BF110" t="str">
        <f t="shared" ca="1" si="304"/>
        <v>A</v>
      </c>
      <c r="BG110">
        <f t="shared" ca="1" si="305"/>
        <v>1</v>
      </c>
      <c r="BI110">
        <v>8</v>
      </c>
      <c r="BJ110" t="str">
        <f t="shared" ca="1" si="306"/>
        <v>L</v>
      </c>
    </row>
    <row r="111" spans="1:62" ht="15.95" customHeight="1">
      <c r="A111" s="16" t="s">
        <v>130</v>
      </c>
      <c r="B111" s="16" t="s">
        <v>134</v>
      </c>
      <c r="C111" s="16"/>
      <c r="D111" s="16" t="str">
        <f t="shared" ca="1" si="289"/>
        <v>Spain</v>
      </c>
      <c r="E111" s="16" t="s">
        <v>143</v>
      </c>
      <c r="F111" s="16" t="s">
        <v>144</v>
      </c>
      <c r="G111" s="16" t="s">
        <v>143</v>
      </c>
      <c r="H111" s="16">
        <f t="shared" ca="1" si="290"/>
        <v>12</v>
      </c>
      <c r="I111" s="16"/>
      <c r="J111" s="16">
        <v>83</v>
      </c>
      <c r="K111" s="16">
        <v>46205.75</v>
      </c>
      <c r="L111" s="16" t="s">
        <v>174</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Ghana</v>
      </c>
      <c r="O111" s="16"/>
      <c r="P111" s="16"/>
      <c r="Q111" s="16"/>
      <c r="R111" s="16"/>
      <c r="S111" s="16"/>
      <c r="T111" s="16"/>
      <c r="U111" s="16"/>
      <c r="V111" s="17"/>
      <c r="W111" s="658"/>
      <c r="X111" s="24">
        <f ca="1">Horarios!C111</f>
        <v>46205.875</v>
      </c>
      <c r="Y111" s="25">
        <f ca="1">Horarios!C111</f>
        <v>46205.875</v>
      </c>
      <c r="Z111" s="280">
        <f t="shared" si="296"/>
        <v>84</v>
      </c>
      <c r="AA111" s="88" t="str">
        <f t="shared" ca="1" si="292"/>
        <v>Spain</v>
      </c>
      <c r="AB111" s="89"/>
      <c r="AC111" s="92">
        <v>3</v>
      </c>
      <c r="AD111" s="92">
        <v>1</v>
      </c>
      <c r="AE111" s="89"/>
      <c r="AF111" s="91" t="str">
        <f t="shared" ca="1" si="293"/>
        <v>Austria</v>
      </c>
      <c r="AG111" s="327">
        <f t="shared" ca="1" si="294"/>
        <v>1</v>
      </c>
      <c r="AH111" s="195">
        <v>84</v>
      </c>
      <c r="AI111" s="182">
        <v>10</v>
      </c>
      <c r="AJ111" s="42">
        <v>10</v>
      </c>
      <c r="AK111" s="602" t="e" cm="1" vm="31">
        <f t="array" aca="1" ref="AK111" ca="1">Ver_flag_visit</f>
        <v>#VALUE!</v>
      </c>
      <c r="AL111" s="85" t="str">
        <f t="shared" ca="1" si="297"/>
        <v>Saudi Arabia</v>
      </c>
      <c r="AM111" s="589">
        <f t="shared" ca="1" si="301"/>
        <v>3</v>
      </c>
      <c r="AN111" s="86">
        <f t="shared" ref="AN111:AT111" ca="1" si="314">+IF($H$113&gt;=48,INDEX($BE$58:$BN$69,MATCH($AL111,$BD$58:$BD$69,0),MATCH(AN$5,$BE$57:$BN$57,0)),$BB67)</f>
        <v>3</v>
      </c>
      <c r="AO111" s="86">
        <f t="shared" ca="1" si="314"/>
        <v>1</v>
      </c>
      <c r="AP111" s="86">
        <f t="shared" ca="1" si="314"/>
        <v>0</v>
      </c>
      <c r="AQ111" s="86">
        <f t="shared" ca="1" si="314"/>
        <v>2</v>
      </c>
      <c r="AR111" s="86">
        <f t="shared" ca="1" si="314"/>
        <v>2</v>
      </c>
      <c r="AS111" s="86">
        <f t="shared" ca="1" si="314"/>
        <v>6</v>
      </c>
      <c r="AT111" s="87">
        <f t="shared" ca="1" si="314"/>
        <v>-4</v>
      </c>
      <c r="AU111" s="330">
        <f t="shared" ca="1" si="299"/>
        <v>1</v>
      </c>
      <c r="AV111" s="182" t="str">
        <f t="shared" ca="1" si="300"/>
        <v>Saudi Arabia</v>
      </c>
      <c r="AW111" s="215"/>
      <c r="AX111" s="170"/>
      <c r="AY111" s="275"/>
      <c r="AZ111" s="275"/>
      <c r="BA111" s="176"/>
      <c r="BI111" t="s">
        <v>175</v>
      </c>
    </row>
    <row r="112" spans="1:62" ht="15.95" customHeight="1">
      <c r="A112" s="16" t="s">
        <v>115</v>
      </c>
      <c r="B112" s="16" t="s">
        <v>125</v>
      </c>
      <c r="C112" s="16"/>
      <c r="D112" s="16" t="str">
        <f t="shared" ca="1" si="289"/>
        <v>Ghana</v>
      </c>
      <c r="E112" s="16" t="s">
        <v>140</v>
      </c>
      <c r="F112" s="16" t="s">
        <v>142</v>
      </c>
      <c r="G112" s="16" t="s">
        <v>144</v>
      </c>
      <c r="H112" s="16">
        <f t="shared" ca="1" si="290"/>
        <v>12</v>
      </c>
      <c r="I112" s="16"/>
      <c r="J112" s="16">
        <v>84</v>
      </c>
      <c r="K112" s="16">
        <v>46205.75</v>
      </c>
      <c r="L112" s="16" t="s">
        <v>176</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8"/>
      <c r="X112" s="24">
        <f ca="1">Horarios!C112</f>
        <v>46206.041666666664</v>
      </c>
      <c r="Y112" s="25">
        <f ca="1">Horarios!C112</f>
        <v>46206.041666666664</v>
      </c>
      <c r="Z112" s="280">
        <f t="shared" si="296"/>
        <v>83</v>
      </c>
      <c r="AA112" s="88" t="str">
        <f t="shared" ca="1" si="292"/>
        <v>Colombia</v>
      </c>
      <c r="AB112" s="89"/>
      <c r="AC112" s="92">
        <v>1</v>
      </c>
      <c r="AD112" s="92">
        <v>2</v>
      </c>
      <c r="AE112" s="89"/>
      <c r="AF112" s="91" t="str">
        <f t="shared" ca="1" si="293"/>
        <v>Ghana</v>
      </c>
      <c r="AG112" s="327">
        <f t="shared" ca="1" si="294"/>
        <v>1</v>
      </c>
      <c r="AH112" s="195">
        <v>83</v>
      </c>
      <c r="AI112" s="182">
        <v>11</v>
      </c>
      <c r="AJ112" s="42">
        <v>11</v>
      </c>
      <c r="AK112" s="602" t="e" cm="1" vm="24">
        <f t="array" aca="1" ref="AK112" ca="1">Ver_flag_visit</f>
        <v>#VALUE!</v>
      </c>
      <c r="AL112" s="85" t="str">
        <f t="shared" ca="1" si="297"/>
        <v>Tunisia</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3</v>
      </c>
      <c r="AS112" s="86">
        <f t="shared" ca="1" si="315"/>
        <v>5</v>
      </c>
      <c r="AT112" s="87">
        <f t="shared" ca="1" si="315"/>
        <v>-2</v>
      </c>
      <c r="AU112" s="330">
        <f t="shared" ca="1" si="299"/>
        <v>1</v>
      </c>
      <c r="AV112" s="182" t="str">
        <f t="shared" ca="1" si="300"/>
        <v>Tunisia</v>
      </c>
      <c r="AW112" s="215"/>
      <c r="AX112" s="170"/>
      <c r="AY112" s="275"/>
      <c r="AZ112" s="275"/>
      <c r="BA112" s="176"/>
      <c r="BI112" t="str">
        <f ca="1">IFERROR(CONCATENATE(BJ103,BJ104,BJ105,BJ106,BJ107,BJ108,BJ109,BJ110),"¿A/B/C/D/E/F/G/H/I/J/K/L?")</f>
        <v>ABCEGIKL</v>
      </c>
    </row>
    <row r="113" spans="1:59" ht="15.95" customHeight="1" thickBot="1">
      <c r="A113" s="16" t="s">
        <v>88</v>
      </c>
      <c r="B113" s="16" t="s">
        <v>177</v>
      </c>
      <c r="C113" s="16"/>
      <c r="D113" s="16" t="str">
        <f t="shared" ca="1" si="289"/>
        <v>Canada</v>
      </c>
      <c r="E113" s="16" t="s">
        <v>90</v>
      </c>
      <c r="F113" s="16" t="s">
        <v>155</v>
      </c>
      <c r="G113" s="16" t="s">
        <v>155</v>
      </c>
      <c r="H113" s="16">
        <f ca="1">+IF($AJ$99&lt;&gt;144,SUM(H101:H112),$AJ$99)</f>
        <v>144</v>
      </c>
      <c r="I113" s="16"/>
      <c r="J113" s="16">
        <v>85</v>
      </c>
      <c r="K113" s="16">
        <v>46205.75</v>
      </c>
      <c r="L113" s="16" t="s">
        <v>178</v>
      </c>
      <c r="M113" s="16" t="str">
        <f t="shared" ca="1" si="291"/>
        <v>Canada</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Egypt</v>
      </c>
      <c r="O113" s="16"/>
      <c r="P113" s="16"/>
      <c r="Q113" s="16"/>
      <c r="R113" s="16"/>
      <c r="S113" s="16"/>
      <c r="T113" s="16"/>
      <c r="U113" s="16"/>
      <c r="V113" s="17"/>
      <c r="W113" s="658"/>
      <c r="X113" s="24">
        <f ca="1">Horarios!C113</f>
        <v>46206.208333333336</v>
      </c>
      <c r="Y113" s="25">
        <f ca="1">Horarios!C113</f>
        <v>46206.208333333336</v>
      </c>
      <c r="Z113" s="280">
        <f t="shared" si="296"/>
        <v>85</v>
      </c>
      <c r="AA113" s="88" t="str">
        <f t="shared" ca="1" si="292"/>
        <v>Canada</v>
      </c>
      <c r="AB113" s="89"/>
      <c r="AC113" s="92">
        <v>2</v>
      </c>
      <c r="AD113" s="92">
        <v>1</v>
      </c>
      <c r="AE113" s="90"/>
      <c r="AF113" s="91" t="str">
        <f t="shared" ca="1" si="293"/>
        <v>Egypt</v>
      </c>
      <c r="AG113" s="327">
        <f t="shared" ca="1" si="294"/>
        <v>1</v>
      </c>
      <c r="AH113" s="195">
        <v>85</v>
      </c>
      <c r="AI113" s="182">
        <v>12</v>
      </c>
      <c r="AJ113" s="44">
        <v>12</v>
      </c>
      <c r="AK113" s="604" t="e" cm="1" vm="15">
        <f t="array" aca="1" ref="AK113" ca="1">Ver_flag_visit</f>
        <v>#VALUE!</v>
      </c>
      <c r="AL113" s="45" t="str">
        <f t="shared" ca="1" si="297"/>
        <v>Australia</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2</v>
      </c>
      <c r="AS113" s="47">
        <f t="shared" ca="1" si="316"/>
        <v>5</v>
      </c>
      <c r="AT113" s="48">
        <f t="shared" ca="1" si="316"/>
        <v>-3</v>
      </c>
      <c r="AU113" s="330">
        <f t="shared" ca="1" si="299"/>
        <v>1</v>
      </c>
      <c r="AV113" s="182" t="str">
        <f t="shared" ca="1" si="300"/>
        <v>Australia</v>
      </c>
      <c r="AW113" s="215"/>
      <c r="AX113" s="170"/>
      <c r="AY113" s="154"/>
      <c r="AZ113" s="155"/>
      <c r="BA113" s="176"/>
    </row>
    <row r="114" spans="1:59" ht="15.95" customHeight="1">
      <c r="A114" s="16" t="s">
        <v>124</v>
      </c>
      <c r="B114" s="16" t="s">
        <v>116</v>
      </c>
      <c r="C114" s="16"/>
      <c r="D114" s="16" t="str">
        <f t="shared" ca="1" si="289"/>
        <v>United States</v>
      </c>
      <c r="E114" s="16" t="s">
        <v>142</v>
      </c>
      <c r="F114" s="16" t="s">
        <v>140</v>
      </c>
      <c r="G114" s="16"/>
      <c r="H114" s="16"/>
      <c r="I114" s="16"/>
      <c r="J114" s="16">
        <v>86</v>
      </c>
      <c r="K114" s="16">
        <v>46206.75</v>
      </c>
      <c r="L114" s="16" t="s">
        <v>179</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Uruguay</v>
      </c>
      <c r="O114" s="16"/>
      <c r="P114" s="16"/>
      <c r="Q114" s="16"/>
      <c r="R114" s="16"/>
      <c r="S114" s="16"/>
      <c r="T114" s="16"/>
      <c r="U114" s="16"/>
      <c r="V114" s="17"/>
      <c r="W114" s="658"/>
      <c r="X114" s="24">
        <f ca="1">Horarios!C114</f>
        <v>46206.833333333336</v>
      </c>
      <c r="Y114" s="25">
        <f ca="1">Horarios!C114</f>
        <v>46206.833333333336</v>
      </c>
      <c r="Z114" s="280">
        <f t="shared" si="296"/>
        <v>88</v>
      </c>
      <c r="AA114" s="88" t="str">
        <f t="shared" ca="1" si="292"/>
        <v>United States</v>
      </c>
      <c r="AB114" s="89"/>
      <c r="AC114" s="92">
        <v>3</v>
      </c>
      <c r="AD114" s="92">
        <v>0</v>
      </c>
      <c r="AE114" s="89"/>
      <c r="AF114" s="91" t="str">
        <f t="shared" ca="1" si="293"/>
        <v>New Zealand</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5" customHeight="1">
      <c r="A115" s="16" t="s">
        <v>129</v>
      </c>
      <c r="B115" s="16" t="s">
        <v>180</v>
      </c>
      <c r="C115" s="16"/>
      <c r="D115" s="16" t="str">
        <f t="shared" ca="1" si="289"/>
        <v>Argentina</v>
      </c>
      <c r="E115" s="16" t="s">
        <v>143</v>
      </c>
      <c r="F115" s="16" t="s">
        <v>155</v>
      </c>
      <c r="G115" s="16"/>
      <c r="H115" s="16"/>
      <c r="I115" s="16"/>
      <c r="J115" s="16">
        <v>87</v>
      </c>
      <c r="K115" s="16">
        <v>46206.75</v>
      </c>
      <c r="L115" s="16" t="s">
        <v>181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Croatia</v>
      </c>
      <c r="O115" s="16"/>
      <c r="P115" s="16"/>
      <c r="Q115" s="16"/>
      <c r="R115" s="16"/>
      <c r="S115" s="16"/>
      <c r="T115" s="16"/>
      <c r="U115" s="16"/>
      <c r="V115" s="17"/>
      <c r="W115" s="658"/>
      <c r="X115" s="24">
        <f ca="1">Horarios!C115</f>
        <v>46207</v>
      </c>
      <c r="Y115" s="25">
        <f ca="1">Horarios!C115</f>
        <v>46207</v>
      </c>
      <c r="Z115" s="280">
        <f t="shared" si="296"/>
        <v>86</v>
      </c>
      <c r="AA115" s="88" t="str">
        <f t="shared" ca="1" si="292"/>
        <v>Argentina</v>
      </c>
      <c r="AB115" s="89"/>
      <c r="AC115" s="92">
        <v>2</v>
      </c>
      <c r="AD115" s="92">
        <v>1</v>
      </c>
      <c r="AE115" s="89"/>
      <c r="AF115" s="91" t="str">
        <f t="shared" ca="1" si="293"/>
        <v>Uruguay</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5" customHeight="1" thickBot="1">
      <c r="A116" s="16" t="s">
        <v>98</v>
      </c>
      <c r="B116" s="16" t="s">
        <v>112</v>
      </c>
      <c r="C116" s="16"/>
      <c r="D116" s="16" t="str">
        <f t="shared" ca="1" si="289"/>
        <v>Portugal</v>
      </c>
      <c r="E116" s="16" t="s">
        <v>108</v>
      </c>
      <c r="F116" s="16" t="s">
        <v>135</v>
      </c>
      <c r="G116" s="16"/>
      <c r="H116" s="16"/>
      <c r="I116" s="16"/>
      <c r="J116" s="16">
        <v>88</v>
      </c>
      <c r="K116" s="16">
        <v>46206.75</v>
      </c>
      <c r="L116" s="16" t="s">
        <v>182</v>
      </c>
      <c r="M116" s="16" t="str">
        <f t="shared" ca="1" si="291"/>
        <v>United States</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New Zealand</v>
      </c>
      <c r="O116" s="16"/>
      <c r="P116" s="16"/>
      <c r="Q116" s="16"/>
      <c r="R116" s="16"/>
      <c r="S116" s="16"/>
      <c r="T116" s="16"/>
      <c r="U116" s="16"/>
      <c r="V116" s="17"/>
      <c r="W116" s="659"/>
      <c r="X116" s="28">
        <f ca="1">Horarios!C116</f>
        <v>46207.145833333336</v>
      </c>
      <c r="Y116" s="29">
        <f ca="1">Horarios!C116</f>
        <v>46207.145833333336</v>
      </c>
      <c r="Z116" s="281">
        <f t="shared" si="296"/>
        <v>87</v>
      </c>
      <c r="AA116" s="93" t="str">
        <f t="shared" ca="1" si="292"/>
        <v>Portugal</v>
      </c>
      <c r="AB116" s="94"/>
      <c r="AC116" s="277">
        <v>3</v>
      </c>
      <c r="AD116" s="277">
        <v>2</v>
      </c>
      <c r="AE116" s="94"/>
      <c r="AF116" s="95" t="str">
        <f t="shared" ca="1" si="293"/>
        <v>Croatia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5"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84</v>
      </c>
      <c r="BG117" t="str">
        <f ca="1">+IFERROR(INDEX(Combinaciones!$P$2:$W$496,MATCH(1,Combinaciones!$B$2:$B$497,0),MATCH(WORLDCUP!BF117,Combinaciones!$P$1:$W$1,0)),"")</f>
        <v>3E</v>
      </c>
    </row>
    <row r="118" spans="1:59" ht="15.95"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88</v>
      </c>
      <c r="BG118" t="str">
        <f ca="1">+IFERROR(INDEX(Combinaciones!$P$2:$W$496,MATCH(1,Combinaciones!$B$2:$B$497,0),MATCH(WORLDCUP!BF118,Combinaciones!$P$1:$W$1,0)),"")</f>
        <v>3G</v>
      </c>
    </row>
    <row r="119" spans="1:59" ht="15.95"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11</v>
      </c>
      <c r="AC119" s="69" t="str">
        <f>AC3</f>
        <v>Goal</v>
      </c>
      <c r="AD119" s="69" t="str">
        <f>AD3</f>
        <v>Goal</v>
      </c>
      <c r="AE119" s="67" t="s">
        <v>11</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97</v>
      </c>
      <c r="BG119" t="str">
        <f ca="1">+IFERROR(INDEX(Combinaciones!$P$2:$W$496,MATCH(1,Combinaciones!$B$2:$B$497,0),MATCH(WORLDCUP!BF119,Combinaciones!$P$1:$W$1,0)),"")</f>
        <v>3B</v>
      </c>
    </row>
    <row r="120" spans="1:59" ht="15.95" customHeight="1">
      <c r="A120" s="16" t="s">
        <v>183</v>
      </c>
      <c r="B120" s="16" t="s">
        <v>184</v>
      </c>
      <c r="C120" s="16"/>
      <c r="D120" s="16" t="str">
        <f t="shared" ref="D120:D127" ca="1" si="317">IF(AND(OR(AC120="",AD120="")),"W"&amp;AH120,IF(AC120&gt;AD120,AA120,IF(AC120&lt;AD120,AF120,IF(AND(AC120=AD120,AB120=AE120),"W"&amp;AH120,IF(AND(AC120=AD120,OR(AB120="",AE120="")),"W"&amp;AH120,IF(AND(AC120=AD120,AB120&gt;AE120),AA120,AF120))))))</f>
        <v>Morocco</v>
      </c>
      <c r="E120" s="16">
        <v>74</v>
      </c>
      <c r="F120" s="16">
        <v>77</v>
      </c>
      <c r="G120" s="16"/>
      <c r="H120" s="16"/>
      <c r="I120" s="16"/>
      <c r="J120" s="16">
        <v>89</v>
      </c>
      <c r="K120" s="16">
        <v>46207.75</v>
      </c>
      <c r="L120" s="16" t="s">
        <v>185</v>
      </c>
      <c r="M120" s="16" t="str">
        <f t="shared" ref="M120:N127" ca="1" si="318">+INDEX($D$101:$D$147,MATCH(E120,$AH$101:$AH$147,0))</f>
        <v>Germany</v>
      </c>
      <c r="N120" s="16" t="str">
        <f t="shared" ca="1" si="318"/>
        <v>France</v>
      </c>
      <c r="O120" s="16"/>
      <c r="P120" s="16"/>
      <c r="Q120" s="16"/>
      <c r="R120" s="16"/>
      <c r="S120" s="16"/>
      <c r="T120" s="16"/>
      <c r="U120" s="16"/>
      <c r="V120" s="17"/>
      <c r="W120" s="660" t="s">
        <v>186</v>
      </c>
      <c r="X120" s="24">
        <f ca="1">Horarios!C120</f>
        <v>46207.791666666664</v>
      </c>
      <c r="Y120" s="25">
        <f ca="1">Horarios!C120</f>
        <v>46207.791666666664</v>
      </c>
      <c r="Z120" s="280">
        <f t="shared" ref="Z120:Z127" si="319">AH120</f>
        <v>90</v>
      </c>
      <c r="AA120" s="88" t="str">
        <f t="shared" ref="AA120:AA127" ca="1" si="320">+INDEX($M$101:$M$147,MATCH(AH120,$J$101:$J$147,0))</f>
        <v>Czech Republic</v>
      </c>
      <c r="AB120" s="89"/>
      <c r="AC120" s="96">
        <v>1</v>
      </c>
      <c r="AD120" s="96">
        <v>2</v>
      </c>
      <c r="AE120" s="89"/>
      <c r="AF120" s="91" t="str">
        <f t="shared" ref="AF120:AF127" ca="1" si="321">+INDEX($N$101:$N$147,MATCH(AH120,$J$101:$J$147,0))</f>
        <v>Morocco</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102</v>
      </c>
      <c r="BG120" t="str">
        <f ca="1">+IFERROR(INDEX(Combinaciones!$P$2:$W$496,MATCH(1,Combinaciones!$B$2:$B$497,0),MATCH(WORLDCUP!BF120,Combinaciones!$P$1:$W$1,0)),"")</f>
        <v>3A</v>
      </c>
    </row>
    <row r="121" spans="1:59" ht="15.95" customHeight="1">
      <c r="A121" s="16" t="s">
        <v>187</v>
      </c>
      <c r="B121" s="16" t="s">
        <v>188</v>
      </c>
      <c r="C121" s="16"/>
      <c r="D121" s="16" t="str">
        <f t="shared" ca="1" si="317"/>
        <v>Germany</v>
      </c>
      <c r="E121" s="16">
        <v>73</v>
      </c>
      <c r="F121" s="16">
        <v>75</v>
      </c>
      <c r="G121" s="16"/>
      <c r="H121" s="16"/>
      <c r="I121" s="16"/>
      <c r="J121" s="16">
        <v>90</v>
      </c>
      <c r="K121" s="16">
        <v>46207.875</v>
      </c>
      <c r="L121" s="16" t="s">
        <v>189</v>
      </c>
      <c r="M121" s="16" t="str">
        <f t="shared" ca="1" si="318"/>
        <v>Czech Republic</v>
      </c>
      <c r="N121" s="16" t="str">
        <f t="shared" ca="1" si="318"/>
        <v>Morocco</v>
      </c>
      <c r="O121" s="16"/>
      <c r="P121" s="16"/>
      <c r="Q121" s="16"/>
      <c r="R121" s="16"/>
      <c r="S121" s="16"/>
      <c r="T121" s="16"/>
      <c r="U121" s="16"/>
      <c r="V121" s="17"/>
      <c r="W121" s="660"/>
      <c r="X121" s="24">
        <f ca="1">Horarios!C121</f>
        <v>46207.958333333336</v>
      </c>
      <c r="Y121" s="25">
        <f ca="1">Horarios!C121</f>
        <v>46207.958333333336</v>
      </c>
      <c r="Z121" s="280">
        <f t="shared" si="319"/>
        <v>89</v>
      </c>
      <c r="AA121" s="88" t="str">
        <f t="shared" ca="1" si="320"/>
        <v>Germany</v>
      </c>
      <c r="AB121" s="89"/>
      <c r="AC121" s="97">
        <v>1</v>
      </c>
      <c r="AD121" s="97">
        <v>0</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111</v>
      </c>
      <c r="BG121" t="str">
        <f ca="1">+IFERROR(INDEX(Combinaciones!$P$2:$W$496,MATCH(1,Combinaciones!$B$2:$B$497,0),MATCH(WORLDCUP!BF121,Combinaciones!$P$1:$W$1,0)),"")</f>
        <v>3I</v>
      </c>
    </row>
    <row r="122" spans="1:59" ht="15.95" customHeight="1">
      <c r="A122" s="16" t="s">
        <v>190</v>
      </c>
      <c r="B122" s="16" t="s">
        <v>191</v>
      </c>
      <c r="C122" s="16"/>
      <c r="D122" s="16" t="str">
        <f t="shared" ca="1" si="317"/>
        <v>Brazil</v>
      </c>
      <c r="E122" s="16">
        <v>76</v>
      </c>
      <c r="F122" s="16">
        <v>78</v>
      </c>
      <c r="G122" s="16"/>
      <c r="H122" s="16"/>
      <c r="I122" s="16"/>
      <c r="J122" s="16">
        <v>91</v>
      </c>
      <c r="K122" s="16">
        <v>46208.75</v>
      </c>
      <c r="L122" s="16" t="s">
        <v>192</v>
      </c>
      <c r="M122" s="16" t="str">
        <f t="shared" ca="1" si="318"/>
        <v>Brazil</v>
      </c>
      <c r="N122" s="16" t="str">
        <f t="shared" ca="1" si="318"/>
        <v>Senegal</v>
      </c>
      <c r="O122" s="16"/>
      <c r="P122" s="16"/>
      <c r="Q122" s="16"/>
      <c r="R122" s="16"/>
      <c r="S122" s="16"/>
      <c r="T122" s="16"/>
      <c r="U122" s="16"/>
      <c r="V122" s="17"/>
      <c r="W122" s="660"/>
      <c r="X122" s="24">
        <f ca="1">Horarios!C122</f>
        <v>46208.916666666664</v>
      </c>
      <c r="Y122" s="25">
        <f ca="1">Horarios!C122</f>
        <v>46208.916666666664</v>
      </c>
      <c r="Z122" s="280">
        <f t="shared" si="319"/>
        <v>91</v>
      </c>
      <c r="AA122" s="88" t="str">
        <f t="shared" ca="1" si="320"/>
        <v>Brazil</v>
      </c>
      <c r="AB122" s="89"/>
      <c r="AC122" s="97">
        <v>1</v>
      </c>
      <c r="AD122" s="97">
        <v>0</v>
      </c>
      <c r="AE122" s="89"/>
      <c r="AF122" s="91" t="str">
        <f t="shared" ca="1" si="321"/>
        <v>Senegal</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120</v>
      </c>
      <c r="BG122" t="str">
        <f ca="1">+IFERROR(INDEX(Combinaciones!$P$2:$W$496,MATCH(1,Combinaciones!$B$2:$B$497,0),MATCH(WORLDCUP!BF122,Combinaciones!$P$1:$W$1,0)),"")</f>
        <v>3C</v>
      </c>
    </row>
    <row r="123" spans="1:59" ht="15.95" customHeight="1">
      <c r="A123" s="16" t="s">
        <v>193</v>
      </c>
      <c r="B123" s="16" t="s">
        <v>194</v>
      </c>
      <c r="C123" s="16"/>
      <c r="D123" s="16" t="str">
        <f t="shared" ca="1" si="317"/>
        <v>England</v>
      </c>
      <c r="E123" s="16">
        <v>79</v>
      </c>
      <c r="F123" s="16">
        <v>80</v>
      </c>
      <c r="G123" s="16"/>
      <c r="H123" s="16"/>
      <c r="I123" s="16"/>
      <c r="J123" s="16">
        <v>92</v>
      </c>
      <c r="K123" s="16">
        <v>46208.875</v>
      </c>
      <c r="L123" s="16" t="s">
        <v>195</v>
      </c>
      <c r="M123" s="16" t="str">
        <f t="shared" ca="1" si="318"/>
        <v>Mexico</v>
      </c>
      <c r="N123" s="16" t="str">
        <f t="shared" ca="1" si="318"/>
        <v>England</v>
      </c>
      <c r="O123" s="16"/>
      <c r="P123" s="16"/>
      <c r="Q123" s="16"/>
      <c r="R123" s="16"/>
      <c r="S123" s="16"/>
      <c r="T123" s="16"/>
      <c r="U123" s="16"/>
      <c r="V123" s="17"/>
      <c r="W123" s="660"/>
      <c r="X123" s="24">
        <f ca="1">Horarios!C123</f>
        <v>46209.083333333336</v>
      </c>
      <c r="Y123" s="25">
        <f ca="1">Horarios!C123</f>
        <v>46209.083333333336</v>
      </c>
      <c r="Z123" s="280">
        <f t="shared" si="319"/>
        <v>92</v>
      </c>
      <c r="AA123" s="88" t="str">
        <f t="shared" ca="1" si="320"/>
        <v>Mexico</v>
      </c>
      <c r="AB123" s="89"/>
      <c r="AC123" s="97">
        <v>0</v>
      </c>
      <c r="AD123" s="97">
        <v>1</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129</v>
      </c>
      <c r="BG123" t="str">
        <f ca="1">+IFERROR(INDEX(Combinaciones!$P$2:$W$496,MATCH(1,Combinaciones!$B$2:$B$497,0),MATCH(WORLDCUP!BF123,Combinaciones!$P$1:$W$1,0)),"")</f>
        <v>3L</v>
      </c>
    </row>
    <row r="124" spans="1:59" ht="15.95" customHeight="1">
      <c r="A124" s="16" t="s">
        <v>196</v>
      </c>
      <c r="B124" s="16" t="s">
        <v>197</v>
      </c>
      <c r="C124" s="16"/>
      <c r="D124" s="16" t="str">
        <f t="shared" ca="1" si="317"/>
        <v>Spain</v>
      </c>
      <c r="E124" s="16">
        <v>83</v>
      </c>
      <c r="F124" s="16">
        <v>84</v>
      </c>
      <c r="G124" s="16"/>
      <c r="H124" s="16"/>
      <c r="I124" s="16"/>
      <c r="J124" s="16">
        <v>93</v>
      </c>
      <c r="K124" s="16">
        <v>46209.75</v>
      </c>
      <c r="L124" s="16" t="s">
        <v>198</v>
      </c>
      <c r="M124" s="16" t="str">
        <f t="shared" ca="1" si="318"/>
        <v>Ghana</v>
      </c>
      <c r="N124" s="16" t="str">
        <f t="shared" ca="1" si="318"/>
        <v>Spain</v>
      </c>
      <c r="O124" s="16"/>
      <c r="P124" s="16"/>
      <c r="Q124" s="16"/>
      <c r="R124" s="16"/>
      <c r="S124" s="16"/>
      <c r="T124" s="16"/>
      <c r="U124" s="16"/>
      <c r="V124" s="17"/>
      <c r="W124" s="660"/>
      <c r="X124" s="24">
        <f ca="1">Horarios!C124</f>
        <v>46209.875</v>
      </c>
      <c r="Y124" s="25">
        <f ca="1">Horarios!C124</f>
        <v>46209.875</v>
      </c>
      <c r="Z124" s="280">
        <f t="shared" si="319"/>
        <v>93</v>
      </c>
      <c r="AA124" s="88" t="str">
        <f t="shared" ca="1" si="320"/>
        <v>Ghana</v>
      </c>
      <c r="AB124" s="98"/>
      <c r="AC124" s="97">
        <v>0</v>
      </c>
      <c r="AD124" s="97">
        <v>1</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133</v>
      </c>
      <c r="BG124" t="str">
        <f ca="1">+IFERROR(INDEX(Combinaciones!$P$2:$W$496,MATCH(1,Combinaciones!$B$2:$B$497,0),MATCH(WORLDCUP!BF124,Combinaciones!$P$1:$W$1,0)),"")</f>
        <v>3K</v>
      </c>
    </row>
    <row r="125" spans="1:59" ht="15.95" customHeight="1">
      <c r="A125" s="16" t="s">
        <v>199</v>
      </c>
      <c r="B125" s="16" t="s">
        <v>200</v>
      </c>
      <c r="C125" s="16"/>
      <c r="D125" s="16" t="str">
        <f t="shared" ca="1" si="317"/>
        <v>Turkey</v>
      </c>
      <c r="E125" s="16">
        <v>81</v>
      </c>
      <c r="F125" s="16">
        <v>82</v>
      </c>
      <c r="G125" s="16"/>
      <c r="H125" s="16"/>
      <c r="I125" s="16"/>
      <c r="J125" s="16">
        <v>94</v>
      </c>
      <c r="K125" s="16">
        <v>46209.875</v>
      </c>
      <c r="L125" s="16" t="s">
        <v>201</v>
      </c>
      <c r="M125" s="16" t="str">
        <f t="shared" ca="1" si="318"/>
        <v>Turkey</v>
      </c>
      <c r="N125" s="16" t="str">
        <f t="shared" ca="1" si="318"/>
        <v>Belgium</v>
      </c>
      <c r="O125" s="16"/>
      <c r="P125" s="16"/>
      <c r="Q125" s="16"/>
      <c r="R125" s="16"/>
      <c r="S125" s="16"/>
      <c r="T125" s="16"/>
      <c r="U125" s="16"/>
      <c r="V125" s="17"/>
      <c r="W125" s="660"/>
      <c r="X125" s="24">
        <f ca="1">Horarios!C125</f>
        <v>46210.083333333336</v>
      </c>
      <c r="Y125" s="25">
        <f ca="1">Horarios!C125</f>
        <v>46210.083333333336</v>
      </c>
      <c r="Z125" s="280">
        <f t="shared" si="319"/>
        <v>94</v>
      </c>
      <c r="AA125" s="88" t="str">
        <f t="shared" ca="1" si="320"/>
        <v>Turkey</v>
      </c>
      <c r="AB125" s="89"/>
      <c r="AC125" s="99">
        <v>1</v>
      </c>
      <c r="AD125" s="99">
        <v>0</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5" customHeight="1">
      <c r="A126" s="16" t="s">
        <v>202</v>
      </c>
      <c r="B126" s="16" t="s">
        <v>203</v>
      </c>
      <c r="C126" s="16"/>
      <c r="D126" s="16" t="str">
        <f t="shared" ca="1" si="317"/>
        <v>United States</v>
      </c>
      <c r="E126" s="16">
        <v>86</v>
      </c>
      <c r="F126" s="16">
        <v>88</v>
      </c>
      <c r="G126" s="16"/>
      <c r="H126" s="16"/>
      <c r="I126" s="16"/>
      <c r="J126" s="16">
        <v>95</v>
      </c>
      <c r="K126" s="16">
        <v>46210.75</v>
      </c>
      <c r="L126" s="16" t="s">
        <v>204</v>
      </c>
      <c r="M126" s="16" t="str">
        <f t="shared" ca="1" si="318"/>
        <v>Argentina</v>
      </c>
      <c r="N126" s="16" t="str">
        <f t="shared" ca="1" si="318"/>
        <v>United States</v>
      </c>
      <c r="O126" s="16"/>
      <c r="P126" s="16"/>
      <c r="Q126" s="16"/>
      <c r="R126" s="16"/>
      <c r="S126" s="16"/>
      <c r="T126" s="16"/>
      <c r="U126" s="16"/>
      <c r="V126" s="17"/>
      <c r="W126" s="660"/>
      <c r="X126" s="24">
        <f ca="1">Horarios!C126</f>
        <v>46210.75</v>
      </c>
      <c r="Y126" s="25">
        <f ca="1">Horarios!C126</f>
        <v>46210.75</v>
      </c>
      <c r="Z126" s="280">
        <f t="shared" si="319"/>
        <v>95</v>
      </c>
      <c r="AA126" s="88" t="str">
        <f t="shared" ca="1" si="320"/>
        <v>Argentina</v>
      </c>
      <c r="AB126" s="89"/>
      <c r="AC126" s="99">
        <v>0</v>
      </c>
      <c r="AD126" s="99">
        <v>1</v>
      </c>
      <c r="AE126" s="89"/>
      <c r="AF126" s="91" t="str">
        <f t="shared" ca="1" si="321"/>
        <v>United States</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5" customHeight="1" thickBot="1">
      <c r="A127" s="16" t="s">
        <v>205</v>
      </c>
      <c r="B127" s="16" t="s">
        <v>206</v>
      </c>
      <c r="C127" s="16"/>
      <c r="D127" s="16" t="str">
        <f t="shared" ca="1" si="317"/>
        <v>Portugal</v>
      </c>
      <c r="E127" s="16">
        <v>85</v>
      </c>
      <c r="F127" s="16">
        <v>87</v>
      </c>
      <c r="G127" s="16"/>
      <c r="H127" s="16"/>
      <c r="I127" s="16"/>
      <c r="J127" s="16">
        <v>96</v>
      </c>
      <c r="K127" s="16">
        <v>46210.875</v>
      </c>
      <c r="L127" s="16" t="s">
        <v>207</v>
      </c>
      <c r="M127" s="16" t="str">
        <f t="shared" ca="1" si="318"/>
        <v>Canada</v>
      </c>
      <c r="N127" s="16" t="str">
        <f t="shared" ca="1" si="318"/>
        <v>Portugal</v>
      </c>
      <c r="O127" s="16"/>
      <c r="P127" s="16"/>
      <c r="Q127" s="16"/>
      <c r="R127" s="16"/>
      <c r="S127" s="16"/>
      <c r="T127" s="16"/>
      <c r="U127" s="16"/>
      <c r="V127" s="17"/>
      <c r="W127" s="661"/>
      <c r="X127" s="28">
        <f ca="1">Horarios!C127</f>
        <v>46210.916666666664</v>
      </c>
      <c r="Y127" s="29">
        <f ca="1">Horarios!C127</f>
        <v>46210.916666666664</v>
      </c>
      <c r="Z127" s="281">
        <f t="shared" si="319"/>
        <v>96</v>
      </c>
      <c r="AA127" s="93" t="str">
        <f t="shared" ca="1" si="320"/>
        <v>Canada</v>
      </c>
      <c r="AB127" s="94"/>
      <c r="AC127" s="100">
        <v>0</v>
      </c>
      <c r="AD127" s="100">
        <v>1</v>
      </c>
      <c r="AE127" s="94"/>
      <c r="AF127" s="95" t="str">
        <f t="shared" ca="1" si="321"/>
        <v>Portugal</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5"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5"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5"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11</v>
      </c>
      <c r="AC130" s="69" t="str">
        <f>AC3</f>
        <v>Goal</v>
      </c>
      <c r="AD130" s="69" t="str">
        <f>AD3</f>
        <v>Goal</v>
      </c>
      <c r="AE130" s="67" t="s">
        <v>11</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5" customHeight="1">
      <c r="A131" s="16" t="s">
        <v>208</v>
      </c>
      <c r="B131" s="16" t="s">
        <v>209</v>
      </c>
      <c r="C131" s="16"/>
      <c r="D131" s="16" t="str">
        <f ca="1">IF(AND(OR(AC131="",AD131="")),"W"&amp;AH131,IF(AC131&gt;AD131,AA131,IF(AC131&lt;AD131,AF131,IF(AND(AC131=AD131,AB131=AE131),"W"&amp;AH131,IF(AND(AC131=AD131,OR(AB131="",AE131="")),"W"&amp;AH131,IF(AND(AC131=AD131,AB131&gt;AE131),AA131,AF131))))))</f>
        <v>Germany</v>
      </c>
      <c r="E131" s="16">
        <v>89</v>
      </c>
      <c r="F131" s="16">
        <v>90</v>
      </c>
      <c r="G131" s="16"/>
      <c r="H131" s="16"/>
      <c r="I131" s="16"/>
      <c r="J131" s="16">
        <v>97</v>
      </c>
      <c r="K131" s="16">
        <v>46212.75</v>
      </c>
      <c r="L131" s="16" t="s">
        <v>210</v>
      </c>
      <c r="M131" s="16" t="str">
        <f t="shared" ref="M131:N134" ca="1" si="323">+INDEX($D$101:$D$147,MATCH(E131,$AH$101:$AH$147,0))</f>
        <v>Germany</v>
      </c>
      <c r="N131" s="16" t="str">
        <f t="shared" ca="1" si="323"/>
        <v>Morocco</v>
      </c>
      <c r="O131" s="16"/>
      <c r="P131" s="16"/>
      <c r="Q131" s="16"/>
      <c r="R131" s="16"/>
      <c r="S131" s="16"/>
      <c r="T131" s="16"/>
      <c r="U131" s="16"/>
      <c r="V131" s="17"/>
      <c r="W131" s="662" t="s">
        <v>211</v>
      </c>
      <c r="X131" s="24">
        <f ca="1">Horarios!C131</f>
        <v>46212.916666666664</v>
      </c>
      <c r="Y131" s="25">
        <f ca="1">Horarios!C131</f>
        <v>46212.916666666664</v>
      </c>
      <c r="Z131" s="282">
        <f t="shared" ref="Z131:Z134" si="324">AH131</f>
        <v>97</v>
      </c>
      <c r="AA131" s="88" t="str">
        <f t="shared" ref="AA131:AA134" ca="1" si="325">+INDEX($M$101:$M$147,MATCH(AH131,$J$101:$J$147,0))</f>
        <v>Germany</v>
      </c>
      <c r="AB131" s="98"/>
      <c r="AC131" s="96">
        <v>1</v>
      </c>
      <c r="AD131" s="96">
        <v>0</v>
      </c>
      <c r="AE131" s="90"/>
      <c r="AF131" s="116" t="str">
        <f ca="1">+INDEX($N$101:$N$147,MATCH(AH131,$J$101:$J$147,0))</f>
        <v>Morocco</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5" customHeight="1">
      <c r="A132" s="16" t="s">
        <v>212</v>
      </c>
      <c r="B132" s="16" t="s">
        <v>213</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214</v>
      </c>
      <c r="M132" s="16" t="str">
        <f t="shared" ca="1" si="323"/>
        <v>Spain</v>
      </c>
      <c r="N132" s="16" t="str">
        <f t="shared" ca="1" si="323"/>
        <v>Turkey</v>
      </c>
      <c r="O132" s="16"/>
      <c r="P132" s="16"/>
      <c r="Q132" s="16"/>
      <c r="R132" s="16"/>
      <c r="S132" s="16"/>
      <c r="T132" s="16"/>
      <c r="U132" s="16"/>
      <c r="V132" s="17"/>
      <c r="W132" s="662"/>
      <c r="X132" s="24">
        <f ca="1">Horarios!C132</f>
        <v>46213.875</v>
      </c>
      <c r="Y132" s="25">
        <f ca="1">Horarios!C132</f>
        <v>46213.875</v>
      </c>
      <c r="Z132" s="282">
        <f t="shared" si="324"/>
        <v>98</v>
      </c>
      <c r="AA132" s="88" t="str">
        <f t="shared" ca="1" si="325"/>
        <v>Spain</v>
      </c>
      <c r="AB132" s="89"/>
      <c r="AC132" s="99">
        <v>1</v>
      </c>
      <c r="AD132" s="99">
        <v>0</v>
      </c>
      <c r="AE132" s="89"/>
      <c r="AF132" s="116" t="str">
        <f ca="1">+INDEX($N$101:$N$147,MATCH(AH132,$J$101:$J$147,0))</f>
        <v>Turkey</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5" customHeight="1">
      <c r="A133" s="16" t="s">
        <v>215</v>
      </c>
      <c r="B133" s="16" t="s">
        <v>216</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217</v>
      </c>
      <c r="M133" s="16" t="str">
        <f t="shared" ca="1" si="323"/>
        <v>Brazil</v>
      </c>
      <c r="N133" s="16" t="str">
        <f t="shared" ca="1" si="323"/>
        <v>England</v>
      </c>
      <c r="O133" s="16"/>
      <c r="P133" s="16"/>
      <c r="Q133" s="16"/>
      <c r="R133" s="16"/>
      <c r="S133" s="16"/>
      <c r="T133" s="16"/>
      <c r="U133" s="16"/>
      <c r="V133" s="17"/>
      <c r="W133" s="662"/>
      <c r="X133" s="24">
        <f ca="1">Horarios!C133</f>
        <v>46214.958333333336</v>
      </c>
      <c r="Y133" s="25">
        <f ca="1">Horarios!C133</f>
        <v>46214.958333333336</v>
      </c>
      <c r="Z133" s="282">
        <f t="shared" si="324"/>
        <v>99</v>
      </c>
      <c r="AA133" s="88" t="str">
        <f t="shared" ca="1" si="325"/>
        <v>Brazil</v>
      </c>
      <c r="AB133" s="89"/>
      <c r="AC133" s="99">
        <v>1</v>
      </c>
      <c r="AD133" s="99">
        <v>2</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5" customHeight="1" thickBot="1">
      <c r="A134" s="16" t="s">
        <v>218</v>
      </c>
      <c r="B134" s="16" t="s">
        <v>219</v>
      </c>
      <c r="C134" s="16"/>
      <c r="D134" s="16" t="str">
        <f ca="1">IF(AND(OR(AC134="",AD134="")),"W"&amp;AH134,IF(AC134&gt;AD134,AA134,IF(AC134&lt;AD134,AF134,IF(AND(AC134=AD134,AB134=AE134),"W"&amp;AH134,IF(AND(AC134=AD134,OR(AB134="",AE134="")),"W"&amp;AH134,IF(AND(AC134=AD134,AB134&gt;AE134),AA134,AF134))))))</f>
        <v>United States</v>
      </c>
      <c r="E134" s="16">
        <v>95</v>
      </c>
      <c r="F134" s="16">
        <v>96</v>
      </c>
      <c r="G134" s="16"/>
      <c r="H134" s="16"/>
      <c r="I134" s="16"/>
      <c r="J134" s="16">
        <v>100</v>
      </c>
      <c r="K134" s="16">
        <v>46214.875</v>
      </c>
      <c r="L134" s="16" t="s">
        <v>220</v>
      </c>
      <c r="M134" s="16" t="str">
        <f t="shared" ca="1" si="323"/>
        <v>United States</v>
      </c>
      <c r="N134" s="16" t="str">
        <f t="shared" ca="1" si="323"/>
        <v>Portugal</v>
      </c>
      <c r="O134" s="16"/>
      <c r="P134" s="16"/>
      <c r="Q134" s="16"/>
      <c r="R134" s="16"/>
      <c r="S134" s="16"/>
      <c r="T134" s="16"/>
      <c r="U134" s="16"/>
      <c r="V134" s="17"/>
      <c r="W134" s="663"/>
      <c r="X134" s="28">
        <f ca="1">Horarios!C134</f>
        <v>46215.125</v>
      </c>
      <c r="Y134" s="29">
        <f ca="1">Horarios!C134</f>
        <v>46215.125</v>
      </c>
      <c r="Z134" s="283">
        <f t="shared" si="324"/>
        <v>100</v>
      </c>
      <c r="AA134" s="93" t="str">
        <f t="shared" ca="1" si="325"/>
        <v>United States</v>
      </c>
      <c r="AB134" s="94"/>
      <c r="AC134" s="100">
        <v>1</v>
      </c>
      <c r="AD134" s="100">
        <v>0</v>
      </c>
      <c r="AE134" s="94"/>
      <c r="AF134" s="117" t="str">
        <f ca="1">+INDEX($N$101:$N$147,MATCH(AH134,$J$101:$J$147,0))</f>
        <v>Portugal</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5"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5" customHeight="1" thickBot="1">
      <c r="A136" s="16"/>
      <c r="B136" s="16"/>
      <c r="C136" s="16"/>
      <c r="D136" s="16"/>
      <c r="E136" s="16"/>
      <c r="F136" s="16" t="s">
        <v>221</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5" customHeight="1">
      <c r="A137" s="16"/>
      <c r="B137" s="16"/>
      <c r="C137" s="16"/>
      <c r="D137" s="16"/>
      <c r="E137" s="16"/>
      <c r="F137" s="16"/>
      <c r="G137" s="16"/>
      <c r="H137" s="16" t="s">
        <v>222</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11</v>
      </c>
      <c r="AC137" s="69" t="s">
        <v>223</v>
      </c>
      <c r="AD137" s="69" t="s">
        <v>223</v>
      </c>
      <c r="AE137" s="67" t="s">
        <v>11</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5" customHeight="1">
      <c r="A138" s="16" t="s">
        <v>224</v>
      </c>
      <c r="B138" s="16" t="s">
        <v>225</v>
      </c>
      <c r="C138" s="16"/>
      <c r="D138" s="16" t="str">
        <f ca="1">IF(AND(OR(AC138="",AD138="")),"W"&amp;AH138,IF(AC138&gt;AD138,AA138,IF(AC138&lt;AD138,AF138,IF(AND(AC138=AD138,AB138=AE138),"W"&amp;AH138,IF(AND(AC138=AD138,OR(AB138="",AE138="")),"W"&amp;AH138,IF(AND(AC138=AD138,AB138&gt;AE138),AA138,AF138))))))</f>
        <v>Germany</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226</v>
      </c>
      <c r="M138" s="16" t="str">
        <f ca="1">+INDEX($D$101:$D$147,MATCH(E138,$AH$101:$AH$147,0))</f>
        <v>Germany</v>
      </c>
      <c r="N138" s="16" t="str">
        <f ca="1">+INDEX($D$101:$D$147,MATCH(F138,$AH$101:$AH$147,0))</f>
        <v>Spain</v>
      </c>
      <c r="O138" s="16"/>
      <c r="P138" s="16"/>
      <c r="Q138" s="16"/>
      <c r="R138" s="16"/>
      <c r="S138" s="16"/>
      <c r="T138" s="16"/>
      <c r="U138" s="16"/>
      <c r="V138" s="17"/>
      <c r="W138" s="664" t="s">
        <v>227</v>
      </c>
      <c r="X138" s="24">
        <f ca="1">Horarios!C138</f>
        <v>46217.875</v>
      </c>
      <c r="Y138" s="25">
        <f ca="1">Horarios!C138</f>
        <v>46217.875</v>
      </c>
      <c r="Z138" s="282">
        <f t="shared" ref="Z138:Z139" si="326">AH138</f>
        <v>101</v>
      </c>
      <c r="AA138" s="88" t="str">
        <f t="shared" ref="AA138:AA139" ca="1" si="327">+INDEX($M$101:$M$147,MATCH(AH138,$J$101:$J$147,0))</f>
        <v>Germany</v>
      </c>
      <c r="AB138" s="89"/>
      <c r="AC138" s="101">
        <v>1</v>
      </c>
      <c r="AD138" s="101">
        <v>0</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5" customHeight="1" thickBot="1">
      <c r="A139" s="16" t="s">
        <v>228</v>
      </c>
      <c r="B139" s="16" t="s">
        <v>229</v>
      </c>
      <c r="C139" s="16"/>
      <c r="D139" s="16" t="str">
        <f ca="1">IF(AND(OR(AC139="",AD139="")),"W"&amp;AH139,IF(AC139&gt;AD139,AA139,IF(AC139&lt;AD139,AF139,IF(AND(AC139=AD139,AB139=AE139),"W"&amp;AH139,IF(AND(AC139=AD139,OR(AB139="",AE139="")),"W"&amp;AH139,IF(AND(AC139=AD139,AB139&gt;AE139),AA139,AF139))))))</f>
        <v>United States</v>
      </c>
      <c r="E139" s="16">
        <v>99</v>
      </c>
      <c r="F139" s="16">
        <v>100</v>
      </c>
      <c r="G139" s="16"/>
      <c r="H139" s="16" t="str">
        <f ca="1">IF(AND(OR(AC139="",AD139="")),"L102",IF(AC139&gt;AD139,AF139,IF(AC139&lt;AD139,AA139,IF(AND(AC139=AD139,AB139=AE139),"W102",IF(AND(AC139=AD139,OR(AB139="",AE139="")),"L102",IF(AND(AC139=AD139,AB139&gt;AE139),AF139,AA139))))))</f>
        <v>England</v>
      </c>
      <c r="I139" s="16"/>
      <c r="J139" s="16">
        <v>102</v>
      </c>
      <c r="K139" s="16">
        <v>46218.875</v>
      </c>
      <c r="L139" s="16" t="s">
        <v>230</v>
      </c>
      <c r="M139" s="16" t="str">
        <f ca="1">+INDEX($D$101:$D$147,MATCH(E139,$AH$101:$AH$147,0))</f>
        <v>England</v>
      </c>
      <c r="N139" s="16" t="str">
        <f ca="1">+INDEX($D$101:$D$147,MATCH(F139,$AH$101:$AH$147,0))</f>
        <v>United States</v>
      </c>
      <c r="O139" s="16"/>
      <c r="P139" s="16"/>
      <c r="Q139" s="16"/>
      <c r="R139" s="16"/>
      <c r="S139" s="16"/>
      <c r="T139" s="16"/>
      <c r="U139" s="16"/>
      <c r="V139" s="17"/>
      <c r="W139" s="665"/>
      <c r="X139" s="123">
        <f ca="1">Horarios!C139</f>
        <v>46218.875</v>
      </c>
      <c r="Y139" s="124">
        <f ca="1">Horarios!C139</f>
        <v>46218.875</v>
      </c>
      <c r="Z139" s="284">
        <f t="shared" si="326"/>
        <v>102</v>
      </c>
      <c r="AA139" s="139" t="str">
        <f t="shared" ca="1" si="327"/>
        <v>England</v>
      </c>
      <c r="AB139" s="140"/>
      <c r="AC139" s="100">
        <v>0</v>
      </c>
      <c r="AD139" s="100">
        <v>1</v>
      </c>
      <c r="AE139" s="140"/>
      <c r="AF139" s="141" t="str">
        <f ca="1">+INDEX($N$101:$N$147,MATCH(AH139,$J$101:$J$147,0))</f>
        <v>United States</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5"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5"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5"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11</v>
      </c>
      <c r="AC142" s="69" t="str">
        <f>AC3</f>
        <v>Goal</v>
      </c>
      <c r="AD142" s="69" t="str">
        <f>AD3</f>
        <v>Goal</v>
      </c>
      <c r="AE142" s="67" t="s">
        <v>11</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5" customHeight="1" thickBot="1">
      <c r="A143" s="16" t="s">
        <v>231</v>
      </c>
      <c r="B143" s="16" t="s">
        <v>232</v>
      </c>
      <c r="C143" s="16"/>
      <c r="D143" s="16" t="str">
        <f ca="1">IF(AND(OR(AC143="",AD143="")),"W"&amp;AH143,IF(AC143&gt;AD143,AA143,IF(AC143&lt;AD143,AF143,IF(AND(AC143=AD143,AB143=AE143),"W"&amp;AH143,IF(AND(AC143=AD143,OR(AB143="",AE143="")),"W"&amp;AH143,IF(AND(AC143=AD143,AB143&gt;AE143),AA143,AF143))))))</f>
        <v>England</v>
      </c>
      <c r="E143" s="16">
        <v>101</v>
      </c>
      <c r="F143" s="16">
        <v>102</v>
      </c>
      <c r="G143" s="16"/>
      <c r="H143" s="16"/>
      <c r="I143" s="16"/>
      <c r="J143" s="16">
        <v>103</v>
      </c>
      <c r="K143" s="16">
        <v>46221.875</v>
      </c>
      <c r="L143" s="16" t="s">
        <v>233</v>
      </c>
      <c r="M143" s="16" t="str">
        <f ca="1">+INDEX($D$101:$D$147,MATCH(E143,$AH$101:$AH$147,0))</f>
        <v>Germany</v>
      </c>
      <c r="N143" s="16" t="str">
        <f ca="1">+INDEX($D$101:$D$147,MATCH(F143,$AH$101:$AH$147,0))</f>
        <v>United States</v>
      </c>
      <c r="O143" s="16"/>
      <c r="P143" s="16"/>
      <c r="Q143" s="16"/>
      <c r="R143" s="16"/>
      <c r="S143" s="16"/>
      <c r="T143" s="16"/>
      <c r="U143" s="16"/>
      <c r="V143" s="17"/>
      <c r="W143" s="142" t="s">
        <v>234</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0</v>
      </c>
      <c r="AD143" s="105">
        <v>1</v>
      </c>
      <c r="AE143" s="216"/>
      <c r="AF143" s="106" t="str">
        <f ca="1">IF(AND(OR(AC139="",AD139="")),"L102",IF(AC139&gt;AD139,AF139,IF(AC139&lt;AD139,AA139,IF(AND(AC139=AD139,AB139=AE139),"L102",IF(AND(AC139=AD139,OR(AB139="",AE139="")),"L102",IF(AND(AC139=AD139,AB139&gt;AE139),AF139,AA139))))))</f>
        <v>England</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5"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5"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5"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11</v>
      </c>
      <c r="AC146" s="69" t="s">
        <v>223</v>
      </c>
      <c r="AD146" s="69" t="s">
        <v>223</v>
      </c>
      <c r="AE146" s="67" t="s">
        <v>11</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5" customHeight="1" thickBot="1">
      <c r="A147" s="16" t="s">
        <v>235</v>
      </c>
      <c r="B147" s="16" t="s">
        <v>236</v>
      </c>
      <c r="C147" s="16"/>
      <c r="D147" s="16" t="str">
        <f ca="1">IF(AND(OR(AC147="",AD147="")),"W"&amp;AH147,IF(AC147&gt;AD147,AA147,IF(AC147&lt;AD147,AF147,IF(AND(AC147=AD147,AB147=AE147),"W"&amp;AH147,IF(AND(AC147=AD147,OR(AB147="",AE147="")),"W"&amp;AH147,IF(AND(AC147=AD147,AB147&gt;AE147),AA147,AF147))))))</f>
        <v>United States</v>
      </c>
      <c r="E147" s="16">
        <v>101</v>
      </c>
      <c r="F147" s="16">
        <v>102</v>
      </c>
      <c r="G147" s="16"/>
      <c r="H147" s="16" t="str">
        <f ca="1">IF(AND(OR(AC147="",AD147="")),"LF",IF(AC147&gt;AD147,AF147,IF(AC147&lt;AD147,AA147,IF(AND(AC147=AD147,AB147=AE147),"LF",IF(AND(AC147=AD147,OR(AB147="",AE147="")),"LF",IF(AND(AC147=AD147,AB147&gt;AE147),AF147,AA147))))))</f>
        <v>Germany</v>
      </c>
      <c r="I147" s="16"/>
      <c r="J147" s="16">
        <v>104</v>
      </c>
      <c r="K147" s="16">
        <v>46222.875</v>
      </c>
      <c r="L147" s="16" t="s">
        <v>237</v>
      </c>
      <c r="M147" s="16" t="str">
        <f ca="1">+INDEX($D$101:$D$147,MATCH(E147,$AH$101:$AH$147,0))</f>
        <v>Germany</v>
      </c>
      <c r="N147" s="16" t="str">
        <f ca="1">+INDEX($D$101:$D$147,MATCH(F147,$AH$101:$AH$147,0))</f>
        <v>United States</v>
      </c>
      <c r="O147" s="16"/>
      <c r="P147" s="16"/>
      <c r="Q147" s="16"/>
      <c r="R147" s="16"/>
      <c r="S147" s="16"/>
      <c r="T147" s="16"/>
      <c r="U147" s="16"/>
      <c r="V147" s="17"/>
      <c r="W147" s="143" t="s">
        <v>126</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Germany</v>
      </c>
      <c r="AB147" s="216"/>
      <c r="AC147" s="105">
        <v>0</v>
      </c>
      <c r="AD147" s="105">
        <v>1</v>
      </c>
      <c r="AE147" s="216"/>
      <c r="AF147" s="106" t="str">
        <f ca="1">IF(AND(OR(AC139="",AD139="")),"W"&amp;AH139,IF(AC139&gt;AD139,AA139,IF(AC139&lt;AD139,AF139,IF(AND(AC139=AD139,AB139=AE139),"W"&amp;AH139,IF(AND(AC139=AD139,OR(AB139="",AE139="")),"W"&amp;AH139,IF(AND(AC139=AD139,AB139&gt;AE139),AA139,AF139))))))</f>
        <v>United States</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5"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5"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5"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United States</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5"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Germany</v>
      </c>
      <c r="AB151" s="111"/>
      <c r="AC151" s="111"/>
      <c r="AD151" s="111"/>
      <c r="AE151" s="111"/>
      <c r="AF151" s="107"/>
      <c r="AG151" s="327">
        <f ca="1">IF(AA151="LF",0,1)</f>
        <v>1</v>
      </c>
      <c r="AH151" s="184"/>
      <c r="AI151" s="184"/>
      <c r="AJ151" s="673" t="str">
        <f ca="1">IF(SUM(COUNTIF(AG4:AG97,0),COUNTIF(AG101:AG160,0)&gt;0),AL148,AL149)</f>
        <v>POOL COMPLETED</v>
      </c>
      <c r="AK151" s="674"/>
      <c r="AL151" s="674"/>
      <c r="AM151" s="674"/>
      <c r="AN151" s="674"/>
      <c r="AO151" s="674"/>
      <c r="AP151" s="674"/>
      <c r="AQ151" s="674"/>
      <c r="AR151" s="674"/>
      <c r="AS151" s="674"/>
      <c r="AT151" s="674"/>
      <c r="AU151" s="675"/>
      <c r="AV151" s="193"/>
      <c r="AW151" s="155"/>
      <c r="AX151" s="154"/>
      <c r="AY151" s="156"/>
      <c r="AZ151" s="157"/>
      <c r="BA151" s="176"/>
    </row>
    <row r="152" spans="1:53" ht="15.95"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England</v>
      </c>
      <c r="AB152" s="110"/>
      <c r="AC152" s="110"/>
      <c r="AD152" s="110"/>
      <c r="AE152" s="110"/>
      <c r="AF152" s="103"/>
      <c r="AG152" s="327">
        <f ca="1">IF(AA152="W34",0,1)</f>
        <v>1</v>
      </c>
      <c r="AH152" s="184"/>
      <c r="AI152" s="184"/>
      <c r="AJ152" s="676"/>
      <c r="AK152" s="677"/>
      <c r="AL152" s="677"/>
      <c r="AM152" s="677"/>
      <c r="AN152" s="677"/>
      <c r="AO152" s="677"/>
      <c r="AP152" s="677"/>
      <c r="AQ152" s="677"/>
      <c r="AR152" s="677"/>
      <c r="AS152" s="677"/>
      <c r="AT152" s="677"/>
      <c r="AU152" s="678"/>
      <c r="AV152" s="193"/>
      <c r="AW152" s="155"/>
      <c r="AX152" s="154"/>
      <c r="AY152" s="156"/>
      <c r="AZ152" s="157"/>
      <c r="BA152" s="176"/>
    </row>
    <row r="153" spans="1:53" ht="15.95"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76"/>
      <c r="AK153" s="677"/>
      <c r="AL153" s="677"/>
      <c r="AM153" s="677"/>
      <c r="AN153" s="677"/>
      <c r="AO153" s="677"/>
      <c r="AP153" s="677"/>
      <c r="AQ153" s="677"/>
      <c r="AR153" s="677"/>
      <c r="AS153" s="677"/>
      <c r="AT153" s="677"/>
      <c r="AU153" s="678"/>
      <c r="AV153" s="193"/>
      <c r="AW153" s="155"/>
      <c r="AX153" s="154"/>
      <c r="AY153" s="156"/>
      <c r="AZ153" s="157"/>
      <c r="BA153" s="176"/>
    </row>
    <row r="154" spans="1:53" ht="15.95"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238</v>
      </c>
      <c r="AB154" s="398"/>
      <c r="AC154" s="398"/>
      <c r="AD154" s="398"/>
      <c r="AE154" s="398"/>
      <c r="AF154" s="399"/>
      <c r="AG154" s="327">
        <f>IF(AA154=$AH$154,0,IF(AA154="",0,1))</f>
        <v>1</v>
      </c>
      <c r="AH154" s="198" t="str">
        <f>Idiomas!D43</f>
        <v>Write a player</v>
      </c>
      <c r="AI154" s="184"/>
      <c r="AJ154" s="676"/>
      <c r="AK154" s="677"/>
      <c r="AL154" s="677"/>
      <c r="AM154" s="677"/>
      <c r="AN154" s="677"/>
      <c r="AO154" s="677"/>
      <c r="AP154" s="677"/>
      <c r="AQ154" s="677"/>
      <c r="AR154" s="677"/>
      <c r="AS154" s="677"/>
      <c r="AT154" s="677"/>
      <c r="AU154" s="678"/>
      <c r="AV154" s="193"/>
      <c r="AW154" s="155"/>
      <c r="AX154" s="154"/>
      <c r="AY154" s="156"/>
      <c r="AZ154" s="157"/>
      <c r="BA154" s="176"/>
    </row>
    <row r="155" spans="1:53" ht="15.95"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239</v>
      </c>
      <c r="AB155" s="400"/>
      <c r="AC155" s="400"/>
      <c r="AD155" s="400"/>
      <c r="AE155" s="400"/>
      <c r="AF155" s="401"/>
      <c r="AG155" s="327">
        <f>IF(AA155=$AH$154,0,IF(AA155="",0,1))</f>
        <v>1</v>
      </c>
      <c r="AH155" s="184"/>
      <c r="AI155" s="184"/>
      <c r="AJ155" s="640" t="str">
        <f ca="1">IF(SUM(COUNTIF(AG4:AG97,0),COUNTIF(AG101:AG160,0)&gt;0),AM148,AM149)</f>
        <v>Save the file and send it over by email.</v>
      </c>
      <c r="AK155" s="641"/>
      <c r="AL155" s="641"/>
      <c r="AM155" s="641"/>
      <c r="AN155" s="641"/>
      <c r="AO155" s="641"/>
      <c r="AP155" s="641"/>
      <c r="AQ155" s="641"/>
      <c r="AR155" s="641"/>
      <c r="AS155" s="641"/>
      <c r="AT155" s="641"/>
      <c r="AU155" s="642"/>
      <c r="AV155" s="193"/>
      <c r="AW155" s="155"/>
      <c r="AX155" s="154"/>
      <c r="AY155" s="156"/>
      <c r="AZ155" s="157"/>
      <c r="BA155" s="176"/>
    </row>
    <row r="156" spans="1:53" ht="15.95"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240</v>
      </c>
      <c r="AB156" s="402"/>
      <c r="AC156" s="402"/>
      <c r="AD156" s="402"/>
      <c r="AE156" s="402"/>
      <c r="AF156" s="403"/>
      <c r="AG156" s="327">
        <f>IF(AA156=$AH$154,0,IF(AA156="",0,1))</f>
        <v>1</v>
      </c>
      <c r="AH156" s="184"/>
      <c r="AI156" s="184"/>
      <c r="AJ156" s="640"/>
      <c r="AK156" s="641"/>
      <c r="AL156" s="641"/>
      <c r="AM156" s="641"/>
      <c r="AN156" s="641"/>
      <c r="AO156" s="641"/>
      <c r="AP156" s="641"/>
      <c r="AQ156" s="641"/>
      <c r="AR156" s="641"/>
      <c r="AS156" s="641"/>
      <c r="AT156" s="641"/>
      <c r="AU156" s="642"/>
      <c r="AV156" s="193"/>
      <c r="AW156" s="155"/>
      <c r="AX156" s="154"/>
      <c r="AY156" s="156"/>
      <c r="AZ156" s="157"/>
      <c r="BA156" s="176"/>
    </row>
    <row r="157" spans="1:53" ht="15.95"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43"/>
      <c r="AK157" s="644"/>
      <c r="AL157" s="644"/>
      <c r="AM157" s="644"/>
      <c r="AN157" s="644"/>
      <c r="AO157" s="644"/>
      <c r="AP157" s="644"/>
      <c r="AQ157" s="644"/>
      <c r="AR157" s="644"/>
      <c r="AS157" s="644"/>
      <c r="AT157" s="644"/>
      <c r="AU157" s="645"/>
      <c r="AV157" s="193"/>
      <c r="AW157" s="155"/>
      <c r="AX157" s="154"/>
      <c r="AY157" s="156"/>
      <c r="AZ157" s="157"/>
      <c r="BA157" s="176"/>
    </row>
    <row r="158" spans="1:53" ht="15.95"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241</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5"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242</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5"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238</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5"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2</v>
      </c>
      <c r="AG162" s="152"/>
      <c r="AH162" s="184"/>
      <c r="AI162" s="184"/>
      <c r="AJ162" s="145"/>
      <c r="AK162" s="145"/>
      <c r="AL162" s="225" t="s">
        <v>13</v>
      </c>
      <c r="AM162" s="223"/>
      <c r="AN162" s="224"/>
      <c r="AO162" s="638" t="str">
        <f>+Idiomas!D12</f>
        <v>Donate</v>
      </c>
      <c r="AP162" s="639"/>
      <c r="AQ162" s="145"/>
      <c r="AR162" s="145"/>
      <c r="AS162" s="145"/>
      <c r="AT162" s="145"/>
      <c r="AU162" s="332"/>
      <c r="AV162" s="193"/>
      <c r="AW162" s="155"/>
      <c r="AX162" s="154"/>
      <c r="AY162" s="156"/>
      <c r="AZ162" s="157"/>
      <c r="BA162" s="176"/>
    </row>
    <row r="163" spans="1:53" ht="27.95"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5"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5"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33"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32" priority="31" stopIfTrue="1">
      <formula>AC4=""</formula>
    </cfRule>
  </conditionalFormatting>
  <conditionalFormatting sqref="AJ8:AT8 AJ16:AT16 AJ24:AT24 AJ32:AT32 AJ40:AT40 AJ48:AT48 AJ56:AT56 AJ64:AT64 AJ72:AT72 AJ80:AT80 AJ88:AT88 AJ96:AT96 AJ110:AT113">
    <cfRule type="expression" dxfId="31" priority="5">
      <formula>AND(OR(SUM($AN$102:$AN$113)=36,$AJ$99=144),COUNTIF($AL$110:$AL$113,$AL8))</formula>
    </cfRule>
  </conditionalFormatting>
  <conditionalFormatting sqref="AJ9:AT9 AJ17:AT17 AJ25:AT25 AJ33:AT33 AJ41:AT41 AJ49:AT49 AJ57:AT57 AJ65:AT65 AJ73:AT73 AJ81:AT81 AJ89:AT89 AJ97:AT97">
    <cfRule type="expression" dxfId="30" priority="298" stopIfTrue="1">
      <formula>OR(SUM($AN6:$AN9)=12,$AJ$99=144)</formula>
    </cfRule>
  </conditionalFormatting>
  <conditionalFormatting sqref="AJ151:AU157">
    <cfRule type="expression" dxfId="29" priority="225">
      <formula>IF($AJ$151=$AL$149,1,0)</formula>
    </cfRule>
  </conditionalFormatting>
  <conditionalFormatting sqref="AL115">
    <cfRule type="expression" dxfId="28" priority="2">
      <formula>IF($AJ$99=144,1,0)</formula>
    </cfRule>
  </conditionalFormatting>
  <conditionalFormatting sqref="AL116">
    <cfRule type="expression" dxfId="27" priority="1">
      <formula>IF($AJ$99=144,1,0)</formula>
    </cfRule>
  </conditionalFormatting>
  <conditionalFormatting sqref="AM102:AM113 AR102:AT113">
    <cfRule type="expression" dxfId="26" priority="710" stopIfTrue="1">
      <formula>$BB$57=3</formula>
    </cfRule>
  </conditionalFormatting>
  <conditionalFormatting sqref="AV6:AV9 AV14:AV17 AV22:AV25 AV30:AV33 AV38:AV41 AV46:AV49 AV54:AV57 AV62:AV65 AV70:AV73 AV78:AV81 AV86:AV89 AV94:AV97">
    <cfRule type="expression" dxfId="25" priority="916" stopIfTrue="1">
      <formula>INDEX($DL$6:$DL$53,MATCH($AL6,$DQ$6:$DQ$53,0))&gt;1</formula>
    </cfRule>
  </conditionalFormatting>
  <conditionalFormatting sqref="AV102:AV113">
    <cfRule type="expression" dxfId="24" priority="928" stopIfTrue="1">
      <formula>AND(INDEX($DL$58:$DL$69,MATCH($AL102,$DQ$58:$DQ$69,0))&gt;1,$H$113=144)</formula>
    </cfRule>
  </conditionalFormatting>
  <conditionalFormatting sqref="AW6:AW9 AW14:AW17 AW22:AW25 AW30:AW33 AW38:AW41 AW46:AW49 AW54:AW57 AW62:AW65 AW70:AW73 AW78:AW81 AW86:AW89 AW94:AW97">
    <cfRule type="expression" dxfId="23" priority="929" stopIfTrue="1">
      <formula>INDEX($DL$6:$DL$53,MATCH($AL6,$DQ$6:$DQ$53,0))&gt;1</formula>
    </cfRule>
  </conditionalFormatting>
  <conditionalFormatting sqref="AW102:AW113">
    <cfRule type="expression" dxfId="22" priority="941">
      <formula>AND(INDEX($DL$58:$DL$69,MATCH($AL102,$DQ$58:$DQ$69,0))&gt;1,$H$113=144)</formula>
    </cfRule>
  </conditionalFormatting>
  <conditionalFormatting sqref="AY5:AZ97">
    <cfRule type="expression" dxfId="21" priority="942">
      <formula>IF($AZ$3="No",1,0)</formula>
    </cfRule>
  </conditionalFormatting>
  <conditionalFormatting sqref="AY101:AZ101">
    <cfRule type="expression" dxfId="20"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zoomScaleNormal="100" workbookViewId="0">
      <selection activeCell="C5" sqref="C5:C258"/>
    </sheetView>
  </sheetViews>
  <sheetFormatPr defaultColWidth="0" defaultRowHeight="15"/>
  <cols>
    <col min="1" max="1" width="10.85546875" style="13" customWidth="1"/>
    <col min="2" max="2" width="29.42578125" customWidth="1"/>
    <col min="3" max="3" width="35" customWidth="1"/>
    <col min="4" max="4" width="12.7109375" style="369" customWidth="1"/>
    <col min="5" max="8" width="10.85546875" style="369" customWidth="1"/>
    <col min="9" max="9" width="3.140625" style="369" customWidth="1"/>
    <col min="10" max="12" width="10.85546875" style="369" customWidth="1"/>
    <col min="13" max="13" width="3.7109375" style="369" customWidth="1"/>
    <col min="14" max="14" width="4.7109375" style="369" customWidth="1"/>
    <col min="15" max="15" width="4" customWidth="1"/>
    <col min="16" max="16" width="4.85546875" customWidth="1"/>
    <col min="17" max="16384" width="10.85546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95" customHeight="1">
      <c r="A5" s="353"/>
      <c r="B5" s="354" t="str">
        <f>Idiomas!D125</f>
        <v>GROUP STAGE</v>
      </c>
      <c r="C5" s="346" t="str">
        <f>Home!C10</f>
        <v>Bart Olde Keizer</v>
      </c>
      <c r="E5" s="706" t="str">
        <f>Idiomas!D109</f>
        <v>·If you play by Rounds, follow de instuctions of every round.</v>
      </c>
      <c r="F5" s="706"/>
      <c r="G5" s="706"/>
      <c r="H5" s="706"/>
      <c r="I5" s="706"/>
      <c r="J5" s="378"/>
      <c r="K5" s="378"/>
      <c r="L5" s="378"/>
      <c r="M5" s="379"/>
      <c r="N5" s="377"/>
    </row>
    <row r="6" spans="1:14" ht="15" customHeight="1">
      <c r="A6" s="355" t="s">
        <v>243</v>
      </c>
      <c r="B6" s="356" t="str">
        <f ca="1">CONCATENATE(WORLDCUP!AA4,"-",WORLDCUP!AF4)</f>
        <v>Mexico-South Africa</v>
      </c>
      <c r="C6" s="347" t="str">
        <f>CONCATENATE(IF(WORLDCUP!AC4&gt;WORLDCUP!AD4,1,IF(WORLDCUP!AC4&lt;WORLDCUP!AD4,2,IF(AND(WORLDCUP!AC4=WORLDCUP!AD4,WORLDCUP!AC4&lt;&gt;"",WORLDCUP!AD4&lt;&gt;""),"X",0))),"|",WORLDCUP!AC4,"-",WORLDCUP!AD4)</f>
        <v>1|1-0</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243</v>
      </c>
      <c r="B7" s="356" t="str">
        <f ca="1">CONCATENATE(WORLDCUP!AA5,"-",WORLDCUP!AF5)</f>
        <v>South Korea-Czech Republic</v>
      </c>
      <c r="C7" s="348" t="str">
        <f>CONCATENATE(IF(WORLDCUP!AC5&gt;WORLDCUP!AD5,1,IF(WORLDCUP!AC5&lt;WORLDCUP!AD5,2,IF(AND(WORLDCUP!AC5=WORLDCUP!AD5,WORLDCUP!AC5&lt;&gt;"",WORLDCUP!AD5&lt;&gt;""),"X",0))),"|",WORLDCUP!AC5,"-",WORLDCUP!AD5)</f>
        <v>2|0-1</v>
      </c>
      <c r="D7" s="697"/>
      <c r="E7" s="686"/>
      <c r="F7" s="686"/>
      <c r="G7" s="686"/>
      <c r="H7" s="686"/>
      <c r="I7" s="381"/>
      <c r="J7" s="370"/>
      <c r="K7" s="370"/>
      <c r="L7" s="370"/>
      <c r="M7" s="379"/>
      <c r="N7" s="377"/>
    </row>
    <row r="8" spans="1:14" ht="15" customHeight="1">
      <c r="A8" s="38" t="s">
        <v>244</v>
      </c>
      <c r="B8" s="357" t="str">
        <f ca="1">CONCATENATE(WORLDCUP!AA12,"-",WORLDCUP!AF12)</f>
        <v>Canada-Bosnia and Herzegovina</v>
      </c>
      <c r="C8" s="348" t="str">
        <f>CONCATENATE(IF(WORLDCUP!AC12&gt;WORLDCUP!AD12,1,IF(WORLDCUP!AC12&lt;WORLDCUP!AD12,2,IF(AND(WORLDCUP!AC12=WORLDCUP!AD12,WORLDCUP!AC12&lt;&gt;"",WORLDCUP!AD12&lt;&gt;""),"X",0))),"|",WORLDCUP!AC12,"-",WORLDCUP!AD12)</f>
        <v>1|2-1</v>
      </c>
      <c r="D8" s="697"/>
      <c r="E8" s="686"/>
      <c r="F8" s="686"/>
      <c r="G8" s="686"/>
      <c r="H8" s="686"/>
      <c r="I8" s="381"/>
      <c r="J8" s="370"/>
      <c r="K8" s="370"/>
      <c r="L8" s="370"/>
      <c r="M8" s="379"/>
      <c r="N8" s="377"/>
    </row>
    <row r="9" spans="1:14" ht="15" customHeight="1">
      <c r="A9" s="38" t="s">
        <v>244</v>
      </c>
      <c r="B9" s="357" t="str">
        <f ca="1">CONCATENATE(WORLDCUP!AA13,"-",WORLDCUP!AF13)</f>
        <v>Qatar-Switzerland</v>
      </c>
      <c r="C9" s="349" t="str">
        <f>CONCATENATE(IF(WORLDCUP!AC13&gt;WORLDCUP!AD13,1,IF(WORLDCUP!AC13&lt;WORLDCUP!AD13,2,IF(AND(WORLDCUP!AC13=WORLDCUP!AD13,WORLDCUP!AC13&lt;&gt;"",WORLDCUP!AD13&lt;&gt;""),"X",0))),"|",WORLDCUP!AC13,"-",WORLDCUP!AD13)</f>
        <v>X|1-1</v>
      </c>
      <c r="D9" s="697"/>
      <c r="E9" s="686"/>
      <c r="F9" s="686"/>
      <c r="G9" s="686"/>
      <c r="H9" s="686"/>
      <c r="I9" s="381"/>
      <c r="J9" s="370"/>
      <c r="K9" s="370"/>
      <c r="L9" s="370"/>
      <c r="M9" s="379"/>
      <c r="N9" s="377"/>
    </row>
    <row r="10" spans="1:14" ht="15" customHeight="1">
      <c r="A10" s="355" t="s">
        <v>245</v>
      </c>
      <c r="B10" s="356" t="str">
        <f ca="1">CONCATENATE(WORLDCUP!AA20,"-",WORLDCUP!AF20)</f>
        <v>Brazil-Morocco</v>
      </c>
      <c r="C10" s="349" t="str">
        <f>CONCATENATE(IF(WORLDCUP!AC20&gt;WORLDCUP!AD20,1,IF(WORLDCUP!AC20&lt;WORLDCUP!AD20,2,IF(AND(WORLDCUP!AC20=WORLDCUP!AD20,WORLDCUP!AC20&lt;&gt;"",WORLDCUP!AD20&lt;&gt;""),"X",0))),"|",WORLDCUP!AC20,"-",WORLDCUP!AD20)</f>
        <v>1|3-1</v>
      </c>
      <c r="D10" s="697"/>
      <c r="E10" s="370"/>
      <c r="F10" s="370"/>
      <c r="G10" s="370"/>
      <c r="H10" s="370"/>
      <c r="I10" s="381"/>
      <c r="J10" s="370"/>
      <c r="K10" s="370"/>
      <c r="L10" s="370"/>
      <c r="M10" s="379"/>
      <c r="N10" s="377"/>
    </row>
    <row r="11" spans="1:14" ht="15" customHeight="1">
      <c r="A11" s="355" t="s">
        <v>245</v>
      </c>
      <c r="B11" s="356" t="str">
        <f ca="1">CONCATENATE(WORLDCUP!AA21,"-",WORLDCUP!AF21)</f>
        <v>Haiti-Scotland</v>
      </c>
      <c r="C11" s="349" t="str">
        <f>CONCATENATE(IF(WORLDCUP!AC21&gt;WORLDCUP!AD21,1,IF(WORLDCUP!AC21&lt;WORLDCUP!AD21,2,IF(AND(WORLDCUP!AC21=WORLDCUP!AD21,WORLDCUP!AC21&lt;&gt;"",WORLDCUP!AD21&lt;&gt;""),"X",0))),"|",WORLDCUP!AC21,"-",WORLDCUP!AD21)</f>
        <v>2|0-1</v>
      </c>
      <c r="D11" s="697"/>
      <c r="E11" s="370"/>
      <c r="F11" s="370"/>
      <c r="G11" s="370"/>
      <c r="H11" s="370"/>
      <c r="I11" s="381"/>
      <c r="J11" s="370"/>
      <c r="K11" s="370"/>
      <c r="L11" s="370"/>
      <c r="M11" s="379"/>
      <c r="N11" s="377"/>
    </row>
    <row r="12" spans="1:14" ht="15" customHeight="1">
      <c r="A12" s="38" t="s">
        <v>246</v>
      </c>
      <c r="B12" s="357" t="str">
        <f ca="1">CONCATENATE(WORLDCUP!AA28,"-",WORLDCUP!AF28)</f>
        <v>United States-Paraguay</v>
      </c>
      <c r="C12" s="349" t="str">
        <f>CONCATENATE(IF(WORLDCUP!AC28&gt;WORLDCUP!AD28,1,IF(WORLDCUP!AC28&lt;WORLDCUP!AD28,2,IF(AND(WORLDCUP!AC28=WORLDCUP!AD28,WORLDCUP!AC28&lt;&gt;"",WORLDCUP!AD28&lt;&gt;""),"X",0))),"|",WORLDCUP!AC28,"-",WORLDCUP!AD28)</f>
        <v>1|3-1</v>
      </c>
      <c r="D12" s="697"/>
      <c r="E12" s="370"/>
      <c r="F12" s="370"/>
      <c r="G12" s="370"/>
      <c r="H12" s="370"/>
      <c r="I12" s="381"/>
      <c r="J12" s="370"/>
      <c r="K12" s="370"/>
      <c r="L12" s="370"/>
      <c r="M12" s="379"/>
      <c r="N12" s="377"/>
    </row>
    <row r="13" spans="1:14" ht="15" customHeight="1">
      <c r="A13" s="38" t="s">
        <v>246</v>
      </c>
      <c r="B13" s="357" t="str">
        <f ca="1">CONCATENATE(WORLDCUP!AA29,"-",WORLDCUP!AF29)</f>
        <v>Australia-Turkey</v>
      </c>
      <c r="C13" s="349" t="str">
        <f>CONCATENATE(IF(WORLDCUP!AC29&gt;WORLDCUP!AD29,1,IF(WORLDCUP!AC29&lt;WORLDCUP!AD29,2,IF(AND(WORLDCUP!AC29=WORLDCUP!AD29,WORLDCUP!AC29&lt;&gt;"",WORLDCUP!AD29&lt;&gt;""),"X",0))),"|",WORLDCUP!AC29,"-",WORLDCUP!AD29)</f>
        <v>2|0-2</v>
      </c>
      <c r="D13" s="697"/>
      <c r="E13" s="370"/>
      <c r="F13" s="370"/>
      <c r="G13" s="370"/>
      <c r="H13" s="370"/>
      <c r="I13" s="381"/>
      <c r="J13" s="370"/>
      <c r="K13" s="370"/>
      <c r="L13" s="370"/>
      <c r="M13" s="379"/>
      <c r="N13" s="377"/>
    </row>
    <row r="14" spans="1:14" ht="15" customHeight="1">
      <c r="A14" s="355" t="s">
        <v>247</v>
      </c>
      <c r="B14" s="356" t="str">
        <f ca="1">CONCATENATE(WORLDCUP!AA36,"-",WORLDCUP!AF36)</f>
        <v>Germany-Curaçao</v>
      </c>
      <c r="C14" s="349" t="str">
        <f>CONCATENATE(IF(WORLDCUP!AC36&gt;WORLDCUP!AD36,1,IF(WORLDCUP!AC36&lt;WORLDCUP!AD36,2,IF(AND(WORLDCUP!AC36=WORLDCUP!AD36,WORLDCUP!AC36&lt;&gt;"",WORLDCUP!AD36&lt;&gt;""),"X",0))),"|",WORLDCUP!AC36,"-",WORLDCUP!AD36)</f>
        <v>1|4-0</v>
      </c>
      <c r="D14" s="697"/>
      <c r="E14" s="370"/>
      <c r="F14" s="370"/>
      <c r="G14" s="370"/>
      <c r="H14" s="370"/>
      <c r="I14" s="381"/>
      <c r="J14" s="370"/>
      <c r="K14" s="370"/>
      <c r="L14" s="370"/>
      <c r="M14" s="379"/>
      <c r="N14" s="377"/>
    </row>
    <row r="15" spans="1:14" ht="15" customHeight="1">
      <c r="A15" s="355" t="s">
        <v>247</v>
      </c>
      <c r="B15" s="356" t="str">
        <f ca="1">CONCATENATE(WORLDCUP!AA37,"-",WORLDCUP!AF37)</f>
        <v>Ivory Coast-Ecuador</v>
      </c>
      <c r="C15" s="349" t="str">
        <f>CONCATENATE(IF(WORLDCUP!AC37&gt;WORLDCUP!AD37,1,IF(WORLDCUP!AC37&lt;WORLDCUP!AD37,2,IF(AND(WORLDCUP!AC37=WORLDCUP!AD37,WORLDCUP!AC37&lt;&gt;"",WORLDCUP!AD37&lt;&gt;""),"X",0))),"|",WORLDCUP!AC37,"-",WORLDCUP!AD37)</f>
        <v>X|2-2</v>
      </c>
      <c r="D15" s="697"/>
      <c r="E15" s="370"/>
      <c r="F15" s="370"/>
      <c r="G15" s="370"/>
      <c r="H15" s="370"/>
      <c r="I15" s="381"/>
      <c r="J15" s="370"/>
      <c r="K15" s="370"/>
      <c r="L15" s="370"/>
      <c r="M15" s="379"/>
      <c r="N15" s="377"/>
    </row>
    <row r="16" spans="1:14" ht="15" customHeight="1">
      <c r="A16" s="38" t="s">
        <v>248</v>
      </c>
      <c r="B16" s="357" t="str">
        <f ca="1">CONCATENATE(WORLDCUP!AA44,"-",WORLDCUP!AF44)</f>
        <v>Netherlands-Japan</v>
      </c>
      <c r="C16" s="349" t="str">
        <f>CONCATENATE(IF(WORLDCUP!AC44&gt;WORLDCUP!AD44,1,IF(WORLDCUP!AC44&lt;WORLDCUP!AD44,2,IF(AND(WORLDCUP!AC44=WORLDCUP!AD44,WORLDCUP!AC44&lt;&gt;"",WORLDCUP!AD44&lt;&gt;""),"X",0))),"|",WORLDCUP!AC44,"-",WORLDCUP!AD44)</f>
        <v>1|2-0</v>
      </c>
      <c r="D16" s="697"/>
      <c r="E16" s="370"/>
      <c r="F16" s="370"/>
      <c r="G16" s="370"/>
      <c r="H16" s="370"/>
      <c r="I16" s="381"/>
      <c r="J16" s="370"/>
      <c r="K16" s="370"/>
      <c r="L16" s="370"/>
      <c r="M16" s="379"/>
      <c r="N16" s="377"/>
    </row>
    <row r="17" spans="1:14" ht="15" customHeight="1">
      <c r="A17" s="38" t="s">
        <v>248</v>
      </c>
      <c r="B17" s="357" t="str">
        <f ca="1">CONCATENATE(WORLDCUP!AA45,"-",WORLDCUP!AF45)</f>
        <v>Sweden-Tunisia</v>
      </c>
      <c r="C17" s="349" t="str">
        <f>CONCATENATE(IF(WORLDCUP!AC45&gt;WORLDCUP!AD45,1,IF(WORLDCUP!AC45&lt;WORLDCUP!AD45,2,IF(AND(WORLDCUP!AC45=WORLDCUP!AD45,WORLDCUP!AC45&lt;&gt;"",WORLDCUP!AD45&lt;&gt;""),"X",0))),"|",WORLDCUP!AC45,"-",WORLDCUP!AD45)</f>
        <v>1|2-1</v>
      </c>
      <c r="D17" s="697"/>
      <c r="E17" s="370"/>
      <c r="F17" s="370"/>
      <c r="G17" s="370"/>
      <c r="H17" s="370"/>
      <c r="I17" s="381"/>
      <c r="J17" s="370"/>
      <c r="K17" s="370"/>
      <c r="L17" s="370"/>
      <c r="M17" s="379"/>
      <c r="N17" s="377"/>
    </row>
    <row r="18" spans="1:14" ht="15" customHeight="1">
      <c r="A18" s="355" t="s">
        <v>249</v>
      </c>
      <c r="B18" s="356" t="str">
        <f ca="1">CONCATENATE(WORLDCUP!AA52,"-",WORLDCUP!AF52)</f>
        <v>Belgium-Egypt</v>
      </c>
      <c r="C18" s="349" t="str">
        <f>CONCATENATE(IF(WORLDCUP!AC52&gt;WORLDCUP!AD52,1,IF(WORLDCUP!AC52&lt;WORLDCUP!AD52,2,IF(AND(WORLDCUP!AC52=WORLDCUP!AD52,WORLDCUP!AC52&lt;&gt;"",WORLDCUP!AD52&lt;&gt;""),"X",0))),"|",WORLDCUP!AC52,"-",WORLDCUP!AD52)</f>
        <v>1|2-1</v>
      </c>
      <c r="D18" s="697"/>
      <c r="E18" s="370"/>
      <c r="F18" s="370"/>
      <c r="G18" s="370"/>
      <c r="H18" s="370"/>
      <c r="I18" s="381"/>
      <c r="J18" s="370"/>
      <c r="K18" s="370"/>
      <c r="L18" s="370"/>
      <c r="M18" s="379"/>
      <c r="N18" s="377"/>
    </row>
    <row r="19" spans="1:14" ht="15" customHeight="1">
      <c r="A19" s="355" t="s">
        <v>249</v>
      </c>
      <c r="B19" s="356" t="str">
        <f ca="1">CONCATENATE(WORLDCUP!AA53,"-",WORLDCUP!AF53)</f>
        <v>Iran-New Zealand</v>
      </c>
      <c r="C19" s="349" t="str">
        <f>CONCATENATE(IF(WORLDCUP!AC53&gt;WORLDCUP!AD53,1,IF(WORLDCUP!AC53&lt;WORLDCUP!AD53,2,IF(AND(WORLDCUP!AC53=WORLDCUP!AD53,WORLDCUP!AC53&lt;&gt;"",WORLDCUP!AD53&lt;&gt;""),"X",0))),"|",WORLDCUP!AC53,"-",WORLDCUP!AD53)</f>
        <v>2|0-3</v>
      </c>
      <c r="D19" s="697"/>
      <c r="E19" s="370"/>
      <c r="F19" s="370"/>
      <c r="G19" s="370"/>
      <c r="H19" s="370"/>
      <c r="I19" s="381"/>
      <c r="J19" s="370"/>
      <c r="K19" s="370"/>
      <c r="L19" s="370"/>
      <c r="M19" s="379"/>
      <c r="N19" s="377"/>
    </row>
    <row r="20" spans="1:14" ht="15" customHeight="1">
      <c r="A20" s="38" t="s">
        <v>250</v>
      </c>
      <c r="B20" s="357" t="str">
        <f ca="1">CONCATENATE(WORLDCUP!AA60,"-",WORLDCUP!AF60)</f>
        <v>Spain-Cape Verde</v>
      </c>
      <c r="C20" s="349" t="str">
        <f>CONCATENATE(IF(WORLDCUP!AC60&gt;WORLDCUP!AD60,1,IF(WORLDCUP!AC60&lt;WORLDCUP!AD60,2,IF(AND(WORLDCUP!AC60=WORLDCUP!AD60,WORLDCUP!AC60&lt;&gt;"",WORLDCUP!AD60&lt;&gt;""),"X",0))),"|",WORLDCUP!AC60,"-",WORLDCUP!AD60)</f>
        <v>1|3-0</v>
      </c>
      <c r="D20" s="697"/>
      <c r="E20" s="370"/>
      <c r="F20" s="370"/>
      <c r="G20" s="370"/>
      <c r="H20" s="370"/>
      <c r="I20" s="381"/>
      <c r="J20" s="370"/>
      <c r="K20" s="370"/>
      <c r="L20" s="370"/>
      <c r="M20" s="379"/>
      <c r="N20" s="377"/>
    </row>
    <row r="21" spans="1:14" ht="15" customHeight="1">
      <c r="A21" s="38" t="s">
        <v>250</v>
      </c>
      <c r="B21" s="357" t="str">
        <f ca="1">CONCATENATE(WORLDCUP!AA61,"-",WORLDCUP!AF61)</f>
        <v>Saudi Arabia-Uruguay</v>
      </c>
      <c r="C21" s="349" t="str">
        <f>CONCATENATE(IF(WORLDCUP!AC61&gt;WORLDCUP!AD61,1,IF(WORLDCUP!AC61&lt;WORLDCUP!AD61,2,IF(AND(WORLDCUP!AC61=WORLDCUP!AD61,WORLDCUP!AC61&lt;&gt;"",WORLDCUP!AD61&lt;&gt;""),"X",0))),"|",WORLDCUP!AC61,"-",WORLDCUP!AD61)</f>
        <v>2|0-2</v>
      </c>
      <c r="D21" s="697"/>
      <c r="E21" s="370"/>
      <c r="F21" s="370"/>
      <c r="G21" s="370"/>
      <c r="H21" s="370"/>
      <c r="I21" s="381"/>
      <c r="J21" s="370"/>
      <c r="K21" s="370"/>
      <c r="L21" s="370"/>
      <c r="M21" s="379"/>
      <c r="N21" s="377"/>
    </row>
    <row r="22" spans="1:14" ht="15" customHeight="1">
      <c r="A22" s="355" t="s">
        <v>251</v>
      </c>
      <c r="B22" s="356" t="str">
        <f ca="1">CONCATENATE(WORLDCUP!AA68,"-",WORLDCUP!AF68)</f>
        <v>France-Senegal</v>
      </c>
      <c r="C22" s="349" t="str">
        <f>CONCATENATE(IF(WORLDCUP!AC68&gt;WORLDCUP!AD68,1,IF(WORLDCUP!AC68&lt;WORLDCUP!AD68,2,IF(AND(WORLDCUP!AC68=WORLDCUP!AD68,WORLDCUP!AC68&lt;&gt;"",WORLDCUP!AD68&lt;&gt;""),"X",0))),"|",WORLDCUP!AC68,"-",WORLDCUP!AD68)</f>
        <v>1|3-1</v>
      </c>
      <c r="D22" s="697"/>
      <c r="E22" s="370"/>
      <c r="F22" s="370"/>
      <c r="G22" s="370"/>
      <c r="H22" s="370"/>
      <c r="I22" s="381"/>
      <c r="J22" s="370"/>
      <c r="K22" s="370"/>
      <c r="L22" s="370"/>
      <c r="M22" s="379"/>
      <c r="N22" s="377"/>
    </row>
    <row r="23" spans="1:14" ht="15" customHeight="1">
      <c r="A23" s="355" t="s">
        <v>251</v>
      </c>
      <c r="B23" s="356" t="str">
        <f ca="1">CONCATENATE(WORLDCUP!AA69,"-",WORLDCUP!AF69)</f>
        <v>Iraq-Norway</v>
      </c>
      <c r="C23" s="349" t="str">
        <f>CONCATENATE(IF(WORLDCUP!AC69&gt;WORLDCUP!AD69,1,IF(WORLDCUP!AC69&lt;WORLDCUP!AD69,2,IF(AND(WORLDCUP!AC69=WORLDCUP!AD69,WORLDCUP!AC69&lt;&gt;"",WORLDCUP!AD69&lt;&gt;""),"X",0))),"|",WORLDCUP!AC69,"-",WORLDCUP!AD69)</f>
        <v>2|0-3</v>
      </c>
      <c r="D23" s="697"/>
      <c r="E23" s="370"/>
      <c r="F23" s="370"/>
      <c r="G23" s="370"/>
      <c r="H23" s="370"/>
      <c r="I23" s="381"/>
      <c r="J23" s="370"/>
      <c r="K23" s="370"/>
      <c r="L23" s="370"/>
      <c r="M23" s="379"/>
      <c r="N23" s="377"/>
    </row>
    <row r="24" spans="1:14" ht="15" customHeight="1">
      <c r="A24" s="38" t="s">
        <v>252</v>
      </c>
      <c r="B24" s="357" t="str">
        <f ca="1">CONCATENATE(WORLDCUP!AA76,"-",WORLDCUP!AF76)</f>
        <v>Argentina-Algeria</v>
      </c>
      <c r="C24" s="349" t="str">
        <f>CONCATENATE(IF(WORLDCUP!AC76&gt;WORLDCUP!AD76,1,IF(WORLDCUP!AC76&lt;WORLDCUP!AD76,2,IF(AND(WORLDCUP!AC76=WORLDCUP!AD76,WORLDCUP!AC76&lt;&gt;"",WORLDCUP!AD76&lt;&gt;""),"X",0))),"|",WORLDCUP!AC76,"-",WORLDCUP!AD76)</f>
        <v>1|3-0</v>
      </c>
      <c r="D24" s="697"/>
      <c r="E24" s="370"/>
      <c r="F24" s="370"/>
      <c r="G24" s="370"/>
      <c r="H24" s="370"/>
      <c r="I24" s="381"/>
      <c r="J24" s="370"/>
      <c r="K24" s="370"/>
      <c r="L24" s="370"/>
      <c r="M24" s="379"/>
      <c r="N24" s="377"/>
    </row>
    <row r="25" spans="1:14" ht="15" customHeight="1">
      <c r="A25" s="38" t="s">
        <v>252</v>
      </c>
      <c r="B25" s="357" t="str">
        <f ca="1">CONCATENATE(WORLDCUP!AA77,"-",WORLDCUP!AF77)</f>
        <v>Austria-Jordan</v>
      </c>
      <c r="C25" s="349" t="str">
        <f>CONCATENATE(IF(WORLDCUP!AC77&gt;WORLDCUP!AD77,1,IF(WORLDCUP!AC77&lt;WORLDCUP!AD77,2,IF(AND(WORLDCUP!AC77=WORLDCUP!AD77,WORLDCUP!AC77&lt;&gt;"",WORLDCUP!AD77&lt;&gt;""),"X",0))),"|",WORLDCUP!AC77,"-",WORLDCUP!AD77)</f>
        <v>1|2-1</v>
      </c>
      <c r="D25" s="697"/>
      <c r="E25" s="370"/>
      <c r="F25" s="370"/>
      <c r="G25" s="370"/>
      <c r="H25" s="370"/>
      <c r="I25" s="381"/>
      <c r="J25" s="370"/>
      <c r="K25" s="370"/>
      <c r="L25" s="370"/>
      <c r="M25" s="379"/>
      <c r="N25" s="377"/>
    </row>
    <row r="26" spans="1:14" ht="15" customHeight="1">
      <c r="A26" s="355" t="s">
        <v>253</v>
      </c>
      <c r="B26" s="356" t="str">
        <f ca="1">CONCATENATE(WORLDCUP!AA84,"-",WORLDCUP!AF84)</f>
        <v>Portugal-DR Congo</v>
      </c>
      <c r="C26" s="349" t="str">
        <f>CONCATENATE(IF(WORLDCUP!AC84&gt;WORLDCUP!AD84,1,IF(WORLDCUP!AC84&lt;WORLDCUP!AD84,2,IF(AND(WORLDCUP!AC84=WORLDCUP!AD84,WORLDCUP!AC84&lt;&gt;"",WORLDCUP!AD84&lt;&gt;""),"X",0))),"|",WORLDCUP!AC84,"-",WORLDCUP!AD84)</f>
        <v>1|3-1</v>
      </c>
      <c r="D26" s="697"/>
      <c r="E26" s="370"/>
      <c r="F26" s="370"/>
      <c r="G26" s="370"/>
      <c r="H26" s="370"/>
      <c r="I26" s="381"/>
      <c r="J26" s="370"/>
      <c r="K26" s="370"/>
      <c r="L26" s="370"/>
      <c r="M26" s="379"/>
      <c r="N26" s="377"/>
    </row>
    <row r="27" spans="1:14" ht="15" customHeight="1">
      <c r="A27" s="355" t="s">
        <v>253</v>
      </c>
      <c r="B27" s="356" t="str">
        <f ca="1">CONCATENATE(WORLDCUP!AA85,"-",WORLDCUP!AF85)</f>
        <v>Uzbekistan-Colombia</v>
      </c>
      <c r="C27" s="349" t="str">
        <f>CONCATENATE(IF(WORLDCUP!AC85&gt;WORLDCUP!AD85,1,IF(WORLDCUP!AC85&lt;WORLDCUP!AD85,2,IF(AND(WORLDCUP!AC85=WORLDCUP!AD85,WORLDCUP!AC85&lt;&gt;"",WORLDCUP!AD85&lt;&gt;""),"X",0))),"|",WORLDCUP!AC85,"-",WORLDCUP!AD85)</f>
        <v>2|0-2</v>
      </c>
      <c r="D27" s="697"/>
      <c r="E27" s="370"/>
      <c r="F27" s="370"/>
      <c r="G27" s="370"/>
      <c r="H27" s="370"/>
      <c r="I27" s="381"/>
      <c r="J27" s="370"/>
      <c r="K27" s="370"/>
      <c r="L27" s="370"/>
      <c r="M27" s="379"/>
      <c r="N27" s="377"/>
    </row>
    <row r="28" spans="1:14" ht="15" customHeight="1">
      <c r="A28" s="38" t="s">
        <v>254</v>
      </c>
      <c r="B28" s="357" t="str">
        <f ca="1">CONCATENATE(WORLDCUP!AA92,"-",WORLDCUP!AF92)</f>
        <v>England-Croatia</v>
      </c>
      <c r="C28" s="349" t="str">
        <f>CONCATENATE(IF(WORLDCUP!AC92&gt;WORLDCUP!AD92,1,IF(WORLDCUP!AC92&lt;WORLDCUP!AD92,2,IF(AND(WORLDCUP!AC92=WORLDCUP!AD92,WORLDCUP!AC92&lt;&gt;"",WORLDCUP!AD92&lt;&gt;""),"X",0))),"|",WORLDCUP!AC92,"-",WORLDCUP!AD92)</f>
        <v>1|2-1</v>
      </c>
      <c r="D28" s="697"/>
      <c r="E28" s="370"/>
      <c r="F28" s="370"/>
      <c r="G28" s="370"/>
      <c r="H28" s="370"/>
      <c r="I28" s="381"/>
      <c r="J28" s="370"/>
      <c r="K28" s="370"/>
      <c r="L28" s="370"/>
      <c r="M28" s="379"/>
      <c r="N28" s="377"/>
    </row>
    <row r="29" spans="1:14" ht="15" customHeight="1">
      <c r="A29" s="38" t="s">
        <v>254</v>
      </c>
      <c r="B29" s="357" t="str">
        <f ca="1">CONCATENATE(WORLDCUP!AA93,"-",WORLDCUP!AF93)</f>
        <v>Ghana-Panama</v>
      </c>
      <c r="C29" s="349" t="str">
        <f>CONCATENATE(IF(WORLDCUP!AC93&gt;WORLDCUP!AD93,1,IF(WORLDCUP!AC93&lt;WORLDCUP!AD93,2,IF(AND(WORLDCUP!AC93=WORLDCUP!AD93,WORLDCUP!AC93&lt;&gt;"",WORLDCUP!AD93&lt;&gt;""),"X",0))),"|",WORLDCUP!AC93,"-",WORLDCUP!AD93)</f>
        <v>1|3-1</v>
      </c>
      <c r="D29" s="698"/>
      <c r="E29" s="372"/>
      <c r="F29" s="372"/>
      <c r="G29" s="372"/>
      <c r="H29" s="372"/>
      <c r="I29" s="381"/>
      <c r="J29" s="370"/>
      <c r="K29" s="370"/>
      <c r="L29" s="370"/>
      <c r="M29" s="379"/>
      <c r="N29" s="377"/>
    </row>
    <row r="30" spans="1:14" ht="15" customHeight="1">
      <c r="A30" s="355" t="s">
        <v>255</v>
      </c>
      <c r="B30" s="356" t="str">
        <f ca="1">CONCATENATE(WORLDCUP!AA6,"-",WORLDCUP!AF6)</f>
        <v>Czech Republic-South Africa</v>
      </c>
      <c r="C30" s="349" t="str">
        <f>CONCATENATE(IF(WORLDCUP!AC6&gt;WORLDCUP!AD6,1,IF(WORLDCUP!AC6&lt;WORLDCUP!AD6,2,IF(AND(WORLDCUP!AC6=WORLDCUP!AD6,WORLDCUP!AC6&lt;&gt;"",WORLDCUP!AD6&lt;&gt;""),"X",0))),"|",WORLDCUP!AC6,"-",WORLDCUP!AD6)</f>
        <v>1|1-0</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255</v>
      </c>
      <c r="B31" s="356" t="str">
        <f ca="1">CONCATENATE(WORLDCUP!AA7,"-",WORLDCUP!AF7)</f>
        <v>Mexico-South Korea</v>
      </c>
      <c r="C31" s="349" t="str">
        <f>CONCATENATE(IF(WORLDCUP!AC7&gt;WORLDCUP!AD7,1,IF(WORLDCUP!AC7&lt;WORLDCUP!AD7,2,IF(AND(WORLDCUP!AC7=WORLDCUP!AD7,WORLDCUP!AC7&lt;&gt;"",WORLDCUP!AD7&lt;&gt;""),"X",0))),"|",WORLDCUP!AC7,"-",WORLDCUP!AD7)</f>
        <v>1|2-0</v>
      </c>
      <c r="D31" s="699"/>
      <c r="E31" s="686"/>
      <c r="F31" s="686"/>
      <c r="G31" s="686"/>
      <c r="H31" s="686"/>
      <c r="I31" s="381"/>
      <c r="J31" s="370"/>
      <c r="K31" s="370"/>
      <c r="L31" s="370"/>
      <c r="M31" s="379"/>
      <c r="N31" s="377"/>
    </row>
    <row r="32" spans="1:14" ht="15" customHeight="1">
      <c r="A32" s="38" t="s">
        <v>256</v>
      </c>
      <c r="B32" s="357" t="str">
        <f ca="1">CONCATENATE(WORLDCUP!AA14,"-",WORLDCUP!AF14)</f>
        <v>Switzerland-Bosnia and Herzegovina</v>
      </c>
      <c r="C32" s="349" t="str">
        <f>CONCATENATE(IF(WORLDCUP!AC14&gt;WORLDCUP!AD14,1,IF(WORLDCUP!AC14&lt;WORLDCUP!AD14,2,IF(AND(WORLDCUP!AC14=WORLDCUP!AD14,WORLDCUP!AC14&lt;&gt;"",WORLDCUP!AD14&lt;&gt;""),"X",0))),"|",WORLDCUP!AC14,"-",WORLDCUP!AD14)</f>
        <v>X|1-1</v>
      </c>
      <c r="D32" s="699"/>
      <c r="E32" s="686"/>
      <c r="F32" s="686"/>
      <c r="G32" s="686"/>
      <c r="H32" s="686"/>
      <c r="I32" s="381"/>
      <c r="J32" s="370"/>
      <c r="K32" s="370"/>
      <c r="L32" s="370"/>
      <c r="M32" s="379"/>
      <c r="N32" s="377"/>
    </row>
    <row r="33" spans="1:14" ht="15" customHeight="1">
      <c r="A33" s="38" t="s">
        <v>256</v>
      </c>
      <c r="B33" s="357" t="str">
        <f ca="1">CONCATENATE(WORLDCUP!AA15,"-",WORLDCUP!AF15)</f>
        <v>Canada-Qatar</v>
      </c>
      <c r="C33" s="349" t="str">
        <f>CONCATENATE(IF(WORLDCUP!AC15&gt;WORLDCUP!AD15,1,IF(WORLDCUP!AC15&lt;WORLDCUP!AD15,2,IF(AND(WORLDCUP!AC15=WORLDCUP!AD15,WORLDCUP!AC15&lt;&gt;"",WORLDCUP!AD15&lt;&gt;""),"X",0))),"|",WORLDCUP!AC15,"-",WORLDCUP!AD15)</f>
        <v>1|2-0</v>
      </c>
      <c r="D33" s="699"/>
      <c r="E33" s="686"/>
      <c r="F33" s="686"/>
      <c r="G33" s="686"/>
      <c r="H33" s="686"/>
      <c r="I33" s="381"/>
      <c r="J33" s="370"/>
      <c r="K33" s="370"/>
      <c r="L33" s="370"/>
      <c r="M33" s="379"/>
      <c r="N33" s="377"/>
    </row>
    <row r="34" spans="1:14" ht="15" customHeight="1">
      <c r="A34" s="355" t="s">
        <v>257</v>
      </c>
      <c r="B34" s="356" t="str">
        <f ca="1">CONCATENATE(WORLDCUP!AA22,"-",WORLDCUP!AF22)</f>
        <v>Scotland-Morocco</v>
      </c>
      <c r="C34" s="349" t="str">
        <f>CONCATENATE(IF(WORLDCUP!AC22&gt;WORLDCUP!AD22,1,IF(WORLDCUP!AC22&lt;WORLDCUP!AD22,2,IF(AND(WORLDCUP!AC22=WORLDCUP!AD22,WORLDCUP!AC22&lt;&gt;"",WORLDCUP!AD22&lt;&gt;""),"X",0))),"|",WORLDCUP!AC22,"-",WORLDCUP!AD22)</f>
        <v>2|1-2</v>
      </c>
      <c r="D34" s="699"/>
      <c r="E34" s="370"/>
      <c r="F34" s="370"/>
      <c r="G34" s="370"/>
      <c r="H34" s="370"/>
      <c r="I34" s="381"/>
      <c r="J34" s="370"/>
      <c r="K34" s="370"/>
      <c r="L34" s="370"/>
      <c r="M34" s="379"/>
      <c r="N34" s="377"/>
    </row>
    <row r="35" spans="1:14" ht="15" customHeight="1">
      <c r="A35" s="355" t="s">
        <v>257</v>
      </c>
      <c r="B35" s="356" t="str">
        <f ca="1">CONCATENATE(WORLDCUP!AA23,"-",WORLDCUP!AF23)</f>
        <v>Brazil-Haiti</v>
      </c>
      <c r="C35" s="349" t="str">
        <f>CONCATENATE(IF(WORLDCUP!AC23&gt;WORLDCUP!AD23,1,IF(WORLDCUP!AC23&lt;WORLDCUP!AD23,2,IF(AND(WORLDCUP!AC23=WORLDCUP!AD23,WORLDCUP!AC23&lt;&gt;"",WORLDCUP!AD23&lt;&gt;""),"X",0))),"|",WORLDCUP!AC23,"-",WORLDCUP!AD23)</f>
        <v>1|6-0</v>
      </c>
      <c r="D35" s="699"/>
      <c r="E35" s="370"/>
      <c r="F35" s="370"/>
      <c r="G35" s="370"/>
      <c r="H35" s="370"/>
      <c r="I35" s="381"/>
      <c r="J35" s="370"/>
      <c r="K35" s="370"/>
      <c r="L35" s="370"/>
      <c r="M35" s="379"/>
      <c r="N35" s="377"/>
    </row>
    <row r="36" spans="1:14" ht="15" customHeight="1">
      <c r="A36" s="38" t="s">
        <v>258</v>
      </c>
      <c r="B36" s="357" t="str">
        <f ca="1">CONCATENATE(WORLDCUP!AA30,"-",WORLDCUP!AF30)</f>
        <v>United States-Australia</v>
      </c>
      <c r="C36" s="349" t="str">
        <f>CONCATENATE(IF(WORLDCUP!AC30&gt;WORLDCUP!AD30,1,IF(WORLDCUP!AC30&lt;WORLDCUP!AD30,2,IF(AND(WORLDCUP!AC30=WORLDCUP!AD30,WORLDCUP!AC30&lt;&gt;"",WORLDCUP!AD30&lt;&gt;""),"X",0))),"|",WORLDCUP!AC30,"-",WORLDCUP!AD30)</f>
        <v>1|2-1</v>
      </c>
      <c r="D36" s="699"/>
      <c r="E36" s="370"/>
      <c r="F36" s="370"/>
      <c r="G36" s="370"/>
      <c r="H36" s="370"/>
      <c r="I36" s="381"/>
      <c r="J36" s="370"/>
      <c r="K36" s="370"/>
      <c r="L36" s="370"/>
      <c r="M36" s="379"/>
      <c r="N36" s="377"/>
    </row>
    <row r="37" spans="1:14" ht="15" customHeight="1">
      <c r="A37" s="38" t="s">
        <v>258</v>
      </c>
      <c r="B37" s="357" t="str">
        <f ca="1">CONCATENATE(WORLDCUP!AA31,"-",WORLDCUP!AF31)</f>
        <v>Turkey-Paraguay</v>
      </c>
      <c r="C37" s="349" t="str">
        <f>CONCATENATE(IF(WORLDCUP!AC31&gt;WORLDCUP!AD31,1,IF(WORLDCUP!AC31&lt;WORLDCUP!AD31,2,IF(AND(WORLDCUP!AC31=WORLDCUP!AD31,WORLDCUP!AC31&lt;&gt;"",WORLDCUP!AD31&lt;&gt;""),"X",0))),"|",WORLDCUP!AC31,"-",WORLDCUP!AD31)</f>
        <v>1|3-0</v>
      </c>
      <c r="D37" s="699"/>
      <c r="E37" s="370"/>
      <c r="F37" s="370"/>
      <c r="G37" s="370"/>
      <c r="H37" s="370"/>
      <c r="I37" s="381"/>
      <c r="J37" s="370"/>
      <c r="K37" s="370"/>
      <c r="L37" s="370"/>
      <c r="M37" s="379"/>
      <c r="N37" s="377"/>
    </row>
    <row r="38" spans="1:14" ht="15" customHeight="1">
      <c r="A38" s="355" t="s">
        <v>259</v>
      </c>
      <c r="B38" s="356" t="str">
        <f ca="1">CONCATENATE(WORLDCUP!AA38,"-",WORLDCUP!AF38)</f>
        <v>Germany-Ivory Coast</v>
      </c>
      <c r="C38" s="349" t="str">
        <f>CONCATENATE(IF(WORLDCUP!AC38&gt;WORLDCUP!AD38,1,IF(WORLDCUP!AC38&lt;WORLDCUP!AD38,2,IF(AND(WORLDCUP!AC38=WORLDCUP!AD38,WORLDCUP!AC38&lt;&gt;"",WORLDCUP!AD38&lt;&gt;""),"X",0))),"|",WORLDCUP!AC38,"-",WORLDCUP!AD38)</f>
        <v>1|2-1</v>
      </c>
      <c r="D38" s="699"/>
      <c r="E38" s="370"/>
      <c r="F38" s="370"/>
      <c r="G38" s="370"/>
      <c r="H38" s="370"/>
      <c r="I38" s="381"/>
      <c r="J38" s="370"/>
      <c r="K38" s="370"/>
      <c r="L38" s="370"/>
      <c r="M38" s="379"/>
      <c r="N38" s="377"/>
    </row>
    <row r="39" spans="1:14" ht="15" customHeight="1">
      <c r="A39" s="355" t="s">
        <v>259</v>
      </c>
      <c r="B39" s="356" t="str">
        <f ca="1">CONCATENATE(WORLDCUP!AA39,"-",WORLDCUP!AF39)</f>
        <v>Ecuador-Curaçao</v>
      </c>
      <c r="C39" s="349" t="str">
        <f>CONCATENATE(IF(WORLDCUP!AC39&gt;WORLDCUP!AD39,1,IF(WORLDCUP!AC39&lt;WORLDCUP!AD39,2,IF(AND(WORLDCUP!AC39=WORLDCUP!AD39,WORLDCUP!AC39&lt;&gt;"",WORLDCUP!AD39&lt;&gt;""),"X",0))),"|",WORLDCUP!AC39,"-",WORLDCUP!AD39)</f>
        <v>1|3-0</v>
      </c>
      <c r="D39" s="699"/>
      <c r="E39" s="370"/>
      <c r="F39" s="370"/>
      <c r="G39" s="370"/>
      <c r="H39" s="370"/>
      <c r="I39" s="381"/>
      <c r="J39" s="370"/>
      <c r="K39" s="370"/>
      <c r="L39" s="370"/>
      <c r="M39" s="379"/>
      <c r="N39" s="377"/>
    </row>
    <row r="40" spans="1:14" ht="15" customHeight="1">
      <c r="A40" s="38" t="s">
        <v>260</v>
      </c>
      <c r="B40" s="357" t="str">
        <f ca="1">CONCATENATE(WORLDCUP!AA46,"-",WORLDCUP!AF46)</f>
        <v>Netherlands-Sweden</v>
      </c>
      <c r="C40" s="349" t="str">
        <f>CONCATENATE(IF(WORLDCUP!AC46&gt;WORLDCUP!AD46,1,IF(WORLDCUP!AC46&lt;WORLDCUP!AD46,2,IF(AND(WORLDCUP!AC46=WORLDCUP!AD46,WORLDCUP!AC46&lt;&gt;"",WORLDCUP!AD46&lt;&gt;""),"X",0))),"|",WORLDCUP!AC46,"-",WORLDCUP!AD46)</f>
        <v>2|1-2</v>
      </c>
      <c r="D40" s="699"/>
      <c r="E40" s="370"/>
      <c r="F40" s="370"/>
      <c r="G40" s="370"/>
      <c r="H40" s="370"/>
      <c r="I40" s="381"/>
      <c r="J40" s="370"/>
      <c r="K40" s="370"/>
      <c r="L40" s="370"/>
      <c r="M40" s="379"/>
      <c r="N40" s="377"/>
    </row>
    <row r="41" spans="1:14" ht="15" customHeight="1">
      <c r="A41" s="38" t="s">
        <v>260</v>
      </c>
      <c r="B41" s="357" t="str">
        <f ca="1">CONCATENATE(WORLDCUP!AA47,"-",WORLDCUP!AF47)</f>
        <v>Tunisia-Japan</v>
      </c>
      <c r="C41" s="349" t="str">
        <f>CONCATENATE(IF(WORLDCUP!AC47&gt;WORLDCUP!AD47,1,IF(WORLDCUP!AC47&lt;WORLDCUP!AD47,2,IF(AND(WORLDCUP!AC47=WORLDCUP!AD47,WORLDCUP!AC47&lt;&gt;"",WORLDCUP!AD47&lt;&gt;""),"X",0))),"|",WORLDCUP!AC47,"-",WORLDCUP!AD47)</f>
        <v>X|1-1</v>
      </c>
      <c r="D41" s="699"/>
      <c r="E41" s="370"/>
      <c r="F41" s="370"/>
      <c r="G41" s="370"/>
      <c r="H41" s="370"/>
      <c r="I41" s="381"/>
      <c r="J41" s="370"/>
      <c r="K41" s="370"/>
      <c r="L41" s="370"/>
      <c r="M41" s="379"/>
      <c r="N41" s="377"/>
    </row>
    <row r="42" spans="1:14" ht="15" customHeight="1">
      <c r="A42" s="355" t="s">
        <v>261</v>
      </c>
      <c r="B42" s="356" t="str">
        <f ca="1">CONCATENATE(WORLDCUP!AA54,"-",WORLDCUP!AF54)</f>
        <v>Belgium-Iran</v>
      </c>
      <c r="C42" s="349" t="str">
        <f>CONCATENATE(IF(WORLDCUP!AC54&gt;WORLDCUP!AD54,1,IF(WORLDCUP!AC54&lt;WORLDCUP!AD54,2,IF(AND(WORLDCUP!AC54=WORLDCUP!AD54,WORLDCUP!AC54&lt;&gt;"",WORLDCUP!AD54&lt;&gt;""),"X",0))),"|",WORLDCUP!AC54,"-",WORLDCUP!AD54)</f>
        <v>1|3-0</v>
      </c>
      <c r="D42" s="699"/>
      <c r="E42" s="370"/>
      <c r="F42" s="370"/>
      <c r="G42" s="370"/>
      <c r="H42" s="370"/>
      <c r="I42" s="381"/>
      <c r="J42" s="370"/>
      <c r="K42" s="370"/>
      <c r="L42" s="370"/>
      <c r="M42" s="379"/>
      <c r="N42" s="377"/>
    </row>
    <row r="43" spans="1:14" ht="15" customHeight="1">
      <c r="A43" s="355" t="s">
        <v>261</v>
      </c>
      <c r="B43" s="356" t="str">
        <f ca="1">CONCATENATE(WORLDCUP!AA55,"-",WORLDCUP!AF55)</f>
        <v>New Zealand-Egypt</v>
      </c>
      <c r="C43" s="349" t="str">
        <f>CONCATENATE(IF(WORLDCUP!AC55&gt;WORLDCUP!AD55,1,IF(WORLDCUP!AC55&lt;WORLDCUP!AD55,2,IF(AND(WORLDCUP!AC55=WORLDCUP!AD55,WORLDCUP!AC55&lt;&gt;"",WORLDCUP!AD55&lt;&gt;""),"X",0))),"|",WORLDCUP!AC55,"-",WORLDCUP!AD55)</f>
        <v>1|2-1</v>
      </c>
      <c r="D43" s="699"/>
      <c r="E43" s="370"/>
      <c r="F43" s="370"/>
      <c r="G43" s="370"/>
      <c r="H43" s="370"/>
      <c r="I43" s="381"/>
      <c r="J43" s="370"/>
      <c r="K43" s="370"/>
      <c r="L43" s="370"/>
      <c r="M43" s="379"/>
      <c r="N43" s="377"/>
    </row>
    <row r="44" spans="1:14" ht="15" customHeight="1">
      <c r="A44" s="38" t="s">
        <v>262</v>
      </c>
      <c r="B44" s="357" t="str">
        <f ca="1">CONCATENATE(WORLDCUP!AA62,"-",WORLDCUP!AF62)</f>
        <v>Spain-Saudi Arabia</v>
      </c>
      <c r="C44" s="349" t="str">
        <f>CONCATENATE(IF(WORLDCUP!AC62&gt;WORLDCUP!AD62,1,IF(WORLDCUP!AC62&lt;WORLDCUP!AD62,2,IF(AND(WORLDCUP!AC62=WORLDCUP!AD62,WORLDCUP!AC62&lt;&gt;"",WORLDCUP!AD62&lt;&gt;""),"X",0))),"|",WORLDCUP!AC62,"-",WORLDCUP!AD62)</f>
        <v>1|3-0</v>
      </c>
      <c r="D44" s="699"/>
      <c r="E44" s="370"/>
      <c r="F44" s="370"/>
      <c r="G44" s="370"/>
      <c r="H44" s="370"/>
      <c r="I44" s="381"/>
      <c r="J44" s="370"/>
      <c r="K44" s="370"/>
      <c r="L44" s="370"/>
      <c r="M44" s="379"/>
      <c r="N44" s="377"/>
    </row>
    <row r="45" spans="1:14" ht="15" customHeight="1">
      <c r="A45" s="38" t="s">
        <v>262</v>
      </c>
      <c r="B45" s="357" t="str">
        <f ca="1">CONCATENATE(WORLDCUP!AA63,"-",WORLDCUP!AF63)</f>
        <v>Uruguay-Cape Verde</v>
      </c>
      <c r="C45" s="349" t="str">
        <f>CONCATENATE(IF(WORLDCUP!AC63&gt;WORLDCUP!AD63,1,IF(WORLDCUP!AC63&lt;WORLDCUP!AD63,2,IF(AND(WORLDCUP!AC63=WORLDCUP!AD63,WORLDCUP!AC63&lt;&gt;"",WORLDCUP!AD63&lt;&gt;""),"X",0))),"|",WORLDCUP!AC63,"-",WORLDCUP!AD63)</f>
        <v>1|2-0</v>
      </c>
      <c r="D45" s="699"/>
      <c r="E45" s="370"/>
      <c r="F45" s="370"/>
      <c r="G45" s="370"/>
      <c r="H45" s="370"/>
      <c r="I45" s="381"/>
      <c r="J45" s="370"/>
      <c r="K45" s="370"/>
      <c r="L45" s="370"/>
      <c r="M45" s="379"/>
      <c r="N45" s="377"/>
    </row>
    <row r="46" spans="1:14" ht="15" customHeight="1">
      <c r="A46" s="355" t="s">
        <v>263</v>
      </c>
      <c r="B46" s="356" t="str">
        <f ca="1">CONCATENATE(WORLDCUP!AA70,"-",WORLDCUP!AF70)</f>
        <v>France-Iraq</v>
      </c>
      <c r="C46" s="349" t="str">
        <f>CONCATENATE(IF(WORLDCUP!AC70&gt;WORLDCUP!AD70,1,IF(WORLDCUP!AC70&lt;WORLDCUP!AD70,2,IF(AND(WORLDCUP!AC70=WORLDCUP!AD70,WORLDCUP!AC70&lt;&gt;"",WORLDCUP!AD70&lt;&gt;""),"X",0))),"|",WORLDCUP!AC70,"-",WORLDCUP!AD70)</f>
        <v>1|3-0</v>
      </c>
      <c r="D46" s="699"/>
      <c r="E46" s="370"/>
      <c r="F46" s="370"/>
      <c r="G46" s="370"/>
      <c r="H46" s="370"/>
      <c r="I46" s="381"/>
      <c r="J46" s="370"/>
      <c r="K46" s="370"/>
      <c r="L46" s="370"/>
      <c r="M46" s="379"/>
      <c r="N46" s="377"/>
    </row>
    <row r="47" spans="1:14" ht="15" customHeight="1">
      <c r="A47" s="355" t="s">
        <v>263</v>
      </c>
      <c r="B47" s="356" t="str">
        <f ca="1">CONCATENATE(WORLDCUP!AA71,"-",WORLDCUP!AF71)</f>
        <v>Norway-Senegal</v>
      </c>
      <c r="C47" s="349" t="str">
        <f>CONCATENATE(IF(WORLDCUP!AC71&gt;WORLDCUP!AD71,1,IF(WORLDCUP!AC71&lt;WORLDCUP!AD71,2,IF(AND(WORLDCUP!AC71=WORLDCUP!AD71,WORLDCUP!AC71&lt;&gt;"",WORLDCUP!AD71&lt;&gt;""),"X",0))),"|",WORLDCUP!AC71,"-",WORLDCUP!AD71)</f>
        <v>2|1-3</v>
      </c>
      <c r="D47" s="699"/>
      <c r="E47" s="370"/>
      <c r="F47" s="370"/>
      <c r="G47" s="370"/>
      <c r="H47" s="370"/>
      <c r="I47" s="381"/>
      <c r="J47" s="370"/>
      <c r="K47" s="370"/>
      <c r="L47" s="370"/>
      <c r="M47" s="379"/>
      <c r="N47" s="377"/>
    </row>
    <row r="48" spans="1:14" ht="15" customHeight="1">
      <c r="A48" s="38" t="s">
        <v>264</v>
      </c>
      <c r="B48" s="357" t="str">
        <f ca="1">CONCATENATE(WORLDCUP!AA78,"-",WORLDCUP!AF78)</f>
        <v>Argentina-Austria</v>
      </c>
      <c r="C48" s="349" t="str">
        <f>CONCATENATE(IF(WORLDCUP!AC78&gt;WORLDCUP!AD78,1,IF(WORLDCUP!AC78&lt;WORLDCUP!AD78,2,IF(AND(WORLDCUP!AC78=WORLDCUP!AD78,WORLDCUP!AC78&lt;&gt;"",WORLDCUP!AD78&lt;&gt;""),"X",0))),"|",WORLDCUP!AC78,"-",WORLDCUP!AD78)</f>
        <v>1|2-1</v>
      </c>
      <c r="D48" s="699"/>
      <c r="E48" s="370"/>
      <c r="F48" s="370"/>
      <c r="G48" s="370"/>
      <c r="H48" s="370"/>
      <c r="I48" s="381"/>
      <c r="J48" s="370"/>
      <c r="K48" s="370"/>
      <c r="L48" s="370"/>
      <c r="M48" s="379"/>
      <c r="N48" s="377"/>
    </row>
    <row r="49" spans="1:14" ht="15" customHeight="1">
      <c r="A49" s="38" t="s">
        <v>264</v>
      </c>
      <c r="B49" s="357" t="str">
        <f ca="1">CONCATENATE(WORLDCUP!AA79,"-",WORLDCUP!AF79)</f>
        <v>Jordan-Algeria</v>
      </c>
      <c r="C49" s="349" t="str">
        <f>CONCATENATE(IF(WORLDCUP!AC79&gt;WORLDCUP!AD79,1,IF(WORLDCUP!AC79&lt;WORLDCUP!AD79,2,IF(AND(WORLDCUP!AC79=WORLDCUP!AD79,WORLDCUP!AC79&lt;&gt;"",WORLDCUP!AD79&lt;&gt;""),"X",0))),"|",WORLDCUP!AC79,"-",WORLDCUP!AD79)</f>
        <v>2|1-2</v>
      </c>
      <c r="D49" s="699"/>
      <c r="E49" s="370"/>
      <c r="F49" s="370"/>
      <c r="G49" s="370"/>
      <c r="H49" s="370"/>
      <c r="I49" s="381"/>
      <c r="J49" s="370"/>
      <c r="K49" s="370"/>
      <c r="L49" s="370"/>
      <c r="M49" s="379"/>
      <c r="N49" s="377"/>
    </row>
    <row r="50" spans="1:14" ht="15" customHeight="1">
      <c r="A50" s="355" t="s">
        <v>265</v>
      </c>
      <c r="B50" s="356" t="str">
        <f ca="1">CONCATENATE(WORLDCUP!AA86,"-",WORLDCUP!AF86)</f>
        <v>Portugal-Uzbekistan</v>
      </c>
      <c r="C50" s="349" t="str">
        <f>CONCATENATE(IF(WORLDCUP!AC86&gt;WORLDCUP!AD86,1,IF(WORLDCUP!AC86&lt;WORLDCUP!AD86,2,IF(AND(WORLDCUP!AC86=WORLDCUP!AD86,WORLDCUP!AC86&lt;&gt;"",WORLDCUP!AD86&lt;&gt;""),"X",0))),"|",WORLDCUP!AC86,"-",WORLDCUP!AD86)</f>
        <v>1|3-0</v>
      </c>
      <c r="D50" s="699"/>
      <c r="E50" s="370"/>
      <c r="F50" s="370"/>
      <c r="G50" s="370"/>
      <c r="H50" s="370"/>
      <c r="I50" s="381"/>
      <c r="J50" s="370"/>
      <c r="K50" s="370"/>
      <c r="L50" s="370"/>
      <c r="M50" s="379"/>
      <c r="N50" s="377"/>
    </row>
    <row r="51" spans="1:14" ht="15" customHeight="1">
      <c r="A51" s="355" t="s">
        <v>265</v>
      </c>
      <c r="B51" s="356" t="str">
        <f ca="1">CONCATENATE(WORLDCUP!AA87,"-",WORLDCUP!AF87)</f>
        <v>Colombia-DR Congo</v>
      </c>
      <c r="C51" s="349" t="str">
        <f>CONCATENATE(IF(WORLDCUP!AC87&gt;WORLDCUP!AD87,1,IF(WORLDCUP!AC87&lt;WORLDCUP!AD87,2,IF(AND(WORLDCUP!AC87=WORLDCUP!AD87,WORLDCUP!AC87&lt;&gt;"",WORLDCUP!AD87&lt;&gt;""),"X",0))),"|",WORLDCUP!AC87,"-",WORLDCUP!AD87)</f>
        <v>1|3-1</v>
      </c>
      <c r="D51" s="699"/>
      <c r="E51" s="370"/>
      <c r="F51" s="370"/>
      <c r="G51" s="370"/>
      <c r="H51" s="370"/>
      <c r="I51" s="381"/>
      <c r="J51" s="370"/>
      <c r="K51" s="370"/>
      <c r="L51" s="370"/>
      <c r="M51" s="379"/>
      <c r="N51" s="377"/>
    </row>
    <row r="52" spans="1:14" ht="15" customHeight="1">
      <c r="A52" s="38" t="s">
        <v>266</v>
      </c>
      <c r="B52" s="357" t="str">
        <f ca="1">CONCATENATE(WORLDCUP!AA94,"-",WORLDCUP!AF94)</f>
        <v>England-Ghana</v>
      </c>
      <c r="C52" s="349" t="str">
        <f>CONCATENATE(IF(WORLDCUP!AC94&gt;WORLDCUP!AD94,1,IF(WORLDCUP!AC94&lt;WORLDCUP!AD94,2,IF(AND(WORLDCUP!AC94=WORLDCUP!AD94,WORLDCUP!AC94&lt;&gt;"",WORLDCUP!AD94&lt;&gt;""),"X",0))),"|",WORLDCUP!AC94,"-",WORLDCUP!AD94)</f>
        <v>1|2-1</v>
      </c>
      <c r="D52" s="699"/>
      <c r="E52" s="370"/>
      <c r="F52" s="370"/>
      <c r="G52" s="370"/>
      <c r="H52" s="370"/>
      <c r="I52" s="381"/>
      <c r="J52" s="370"/>
      <c r="K52" s="370"/>
      <c r="L52" s="370"/>
      <c r="M52" s="379"/>
      <c r="N52" s="377"/>
    </row>
    <row r="53" spans="1:14" ht="15" customHeight="1">
      <c r="A53" s="38" t="s">
        <v>266</v>
      </c>
      <c r="B53" s="357" t="str">
        <f ca="1">CONCATENATE(WORLDCUP!AA95,"-",WORLDCUP!AF95)</f>
        <v>Panama-Croatia</v>
      </c>
      <c r="C53" s="349" t="str">
        <f>CONCATENATE(IF(WORLDCUP!AC95&gt;WORLDCUP!AD95,1,IF(WORLDCUP!AC95&lt;WORLDCUP!AD95,2,IF(AND(WORLDCUP!AC95=WORLDCUP!AD95,WORLDCUP!AC95&lt;&gt;"",WORLDCUP!AD95&lt;&gt;""),"X",0))),"|",WORLDCUP!AC95,"-",WORLDCUP!AD95)</f>
        <v>2|1-2</v>
      </c>
      <c r="D53" s="700"/>
      <c r="E53" s="372"/>
      <c r="F53" s="372"/>
      <c r="G53" s="372"/>
      <c r="H53" s="372"/>
      <c r="I53" s="382"/>
      <c r="J53" s="370"/>
      <c r="K53" s="370"/>
      <c r="L53" s="370"/>
      <c r="M53" s="379"/>
      <c r="N53" s="377"/>
    </row>
    <row r="54" spans="1:14" ht="15" customHeight="1">
      <c r="A54" s="355" t="s">
        <v>267</v>
      </c>
      <c r="B54" s="356" t="str">
        <f ca="1">CONCATENATE(WORLDCUP!AA8,"-",WORLDCUP!AF8)</f>
        <v>Czech Republic-Mexico</v>
      </c>
      <c r="C54" s="349" t="str">
        <f>CONCATENATE(IF(WORLDCUP!AC8&gt;WORLDCUP!AD8,1,IF(WORLDCUP!AC8&lt;WORLDCUP!AD8,2,IF(AND(WORLDCUP!AC8=WORLDCUP!AD8,WORLDCUP!AC8&lt;&gt;"",WORLDCUP!AD8&lt;&gt;""),"X",0))),"|",WORLDCUP!AC8,"-",WORLDCUP!AD8)</f>
        <v>X|1-1</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267</v>
      </c>
      <c r="B55" s="356" t="str">
        <f ca="1">CONCATENATE(WORLDCUP!AA9,"-",WORLDCUP!AF9)</f>
        <v>South Africa-South Korea</v>
      </c>
      <c r="C55" s="349" t="str">
        <f>CONCATENATE(IF(WORLDCUP!AC9&gt;WORLDCUP!AD9,1,IF(WORLDCUP!AC9&lt;WORLDCUP!AD9,2,IF(AND(WORLDCUP!AC9=WORLDCUP!AD9,WORLDCUP!AC9&lt;&gt;"",WORLDCUP!AD9&lt;&gt;""),"X",0))),"|",WORLDCUP!AC9,"-",WORLDCUP!AD9)</f>
        <v>2|0-1</v>
      </c>
      <c r="D55" s="693"/>
      <c r="E55" s="686"/>
      <c r="F55" s="686"/>
      <c r="G55" s="686"/>
      <c r="H55" s="686"/>
      <c r="I55" s="381"/>
      <c r="J55" s="370"/>
      <c r="K55" s="370"/>
      <c r="L55" s="370"/>
      <c r="M55" s="379"/>
      <c r="N55" s="377"/>
    </row>
    <row r="56" spans="1:14" ht="15" customHeight="1">
      <c r="A56" s="38" t="s">
        <v>268</v>
      </c>
      <c r="B56" s="357" t="str">
        <f ca="1">CONCATENATE(WORLDCUP!AA16,"-",WORLDCUP!AF16)</f>
        <v>Switzerland-Canada</v>
      </c>
      <c r="C56" s="349" t="str">
        <f>CONCATENATE(IF(WORLDCUP!AC16&gt;WORLDCUP!AD16,1,IF(WORLDCUP!AC16&lt;WORLDCUP!AD16,2,IF(AND(WORLDCUP!AC16=WORLDCUP!AD16,WORLDCUP!AC16&lt;&gt;"",WORLDCUP!AD16&lt;&gt;""),"X",0))),"|",WORLDCUP!AC16,"-",WORLDCUP!AD16)</f>
        <v>X|1-1</v>
      </c>
      <c r="D56" s="693"/>
      <c r="E56" s="686"/>
      <c r="F56" s="686"/>
      <c r="G56" s="686"/>
      <c r="H56" s="686"/>
      <c r="I56" s="381"/>
      <c r="J56" s="370"/>
      <c r="K56" s="370"/>
      <c r="L56" s="370"/>
      <c r="M56" s="379"/>
      <c r="N56" s="377"/>
    </row>
    <row r="57" spans="1:14" ht="15" customHeight="1">
      <c r="A57" s="38" t="s">
        <v>268</v>
      </c>
      <c r="B57" s="357" t="str">
        <f ca="1">CONCATENATE(WORLDCUP!AA17,"-",WORLDCUP!AF17)</f>
        <v>Bosnia and Herzegovina-Qatar</v>
      </c>
      <c r="C57" s="349" t="str">
        <f>CONCATENATE(IF(WORLDCUP!AC17&gt;WORLDCUP!AD17,1,IF(WORLDCUP!AC17&lt;WORLDCUP!AD17,2,IF(AND(WORLDCUP!AC17=WORLDCUP!AD17,WORLDCUP!AC17&lt;&gt;"",WORLDCUP!AD17&lt;&gt;""),"X",0))),"|",WORLDCUP!AC17,"-",WORLDCUP!AD17)</f>
        <v>1|1-0</v>
      </c>
      <c r="D57" s="693"/>
      <c r="E57" s="686"/>
      <c r="F57" s="686"/>
      <c r="G57" s="686"/>
      <c r="H57" s="686"/>
      <c r="I57" s="381"/>
      <c r="J57" s="370"/>
      <c r="K57" s="370"/>
      <c r="L57" s="370"/>
      <c r="M57" s="379"/>
      <c r="N57" s="377"/>
    </row>
    <row r="58" spans="1:14" ht="15" customHeight="1">
      <c r="A58" s="355" t="s">
        <v>269</v>
      </c>
      <c r="B58" s="356" t="str">
        <f ca="1">CONCATENATE(WORLDCUP!AA24,"-",WORLDCUP!AF24)</f>
        <v>Scotland-Brazil</v>
      </c>
      <c r="C58" s="349" t="str">
        <f>CONCATENATE(IF(WORLDCUP!AC24&gt;WORLDCUP!AD24,1,IF(WORLDCUP!AC24&lt;WORLDCUP!AD24,2,IF(AND(WORLDCUP!AC24=WORLDCUP!AD24,WORLDCUP!AC24&lt;&gt;"",WORLDCUP!AD24&lt;&gt;""),"X",0))),"|",WORLDCUP!AC24,"-",WORLDCUP!AD24)</f>
        <v>2|1-3</v>
      </c>
      <c r="D58" s="693"/>
      <c r="E58" s="370"/>
      <c r="F58" s="370"/>
      <c r="G58" s="370"/>
      <c r="H58" s="370"/>
      <c r="I58" s="381"/>
      <c r="J58" s="370"/>
      <c r="K58" s="370"/>
      <c r="L58" s="370"/>
      <c r="M58" s="379"/>
      <c r="N58" s="377"/>
    </row>
    <row r="59" spans="1:14" ht="15" customHeight="1">
      <c r="A59" s="355" t="s">
        <v>269</v>
      </c>
      <c r="B59" s="356" t="str">
        <f ca="1">CONCATENATE(WORLDCUP!AA25,"-",WORLDCUP!AF25)</f>
        <v>Morocco-Haiti</v>
      </c>
      <c r="C59" s="349" t="str">
        <f>CONCATENATE(IF(WORLDCUP!AC25&gt;WORLDCUP!AD25,1,IF(WORLDCUP!AC25&lt;WORLDCUP!AD25,2,IF(AND(WORLDCUP!AC25=WORLDCUP!AD25,WORLDCUP!AC25&lt;&gt;"",WORLDCUP!AD25&lt;&gt;""),"X",0))),"|",WORLDCUP!AC25,"-",WORLDCUP!AD25)</f>
        <v>1|4-0</v>
      </c>
      <c r="D59" s="693"/>
      <c r="E59" s="370"/>
      <c r="F59" s="370"/>
      <c r="G59" s="370"/>
      <c r="H59" s="370"/>
      <c r="I59" s="381"/>
      <c r="J59" s="370"/>
      <c r="K59" s="370"/>
      <c r="L59" s="370"/>
      <c r="M59" s="379"/>
      <c r="N59" s="377"/>
    </row>
    <row r="60" spans="1:14" ht="15" customHeight="1">
      <c r="A60" s="38" t="s">
        <v>270</v>
      </c>
      <c r="B60" s="357" t="str">
        <f ca="1">CONCATENATE(WORLDCUP!AA32,"-",WORLDCUP!AF32)</f>
        <v>Turkey-United States</v>
      </c>
      <c r="C60" s="349" t="str">
        <f>CONCATENATE(IF(WORLDCUP!AC32&gt;WORLDCUP!AD32,1,IF(WORLDCUP!AC32&lt;WORLDCUP!AD32,2,IF(AND(WORLDCUP!AC32=WORLDCUP!AD32,WORLDCUP!AC32&lt;&gt;"",WORLDCUP!AD32&lt;&gt;""),"X",0))),"|",WORLDCUP!AC32,"-",WORLDCUP!AD32)</f>
        <v>1|2-0</v>
      </c>
      <c r="D60" s="693"/>
      <c r="E60" s="370"/>
      <c r="F60" s="370"/>
      <c r="G60" s="370"/>
      <c r="H60" s="370"/>
      <c r="I60" s="381"/>
      <c r="J60" s="370"/>
      <c r="K60" s="370"/>
      <c r="L60" s="370"/>
      <c r="M60" s="379"/>
      <c r="N60" s="377"/>
    </row>
    <row r="61" spans="1:14" ht="15" customHeight="1">
      <c r="A61" s="38" t="s">
        <v>270</v>
      </c>
      <c r="B61" s="357" t="str">
        <f ca="1">CONCATENATE(WORLDCUP!AA33,"-",WORLDCUP!AF33)</f>
        <v>Paraguay-Australia</v>
      </c>
      <c r="C61" s="349" t="str">
        <f>CONCATENATE(IF(WORLDCUP!AC33&gt;WORLDCUP!AD33,1,IF(WORLDCUP!AC33&lt;WORLDCUP!AD33,2,IF(AND(WORLDCUP!AC33=WORLDCUP!AD33,WORLDCUP!AC33&lt;&gt;"",WORLDCUP!AD33&lt;&gt;""),"X",0))),"|",WORLDCUP!AC33,"-",WORLDCUP!AD33)</f>
        <v>X|1-1</v>
      </c>
      <c r="D61" s="693"/>
      <c r="E61" s="370"/>
      <c r="F61" s="370"/>
      <c r="G61" s="370"/>
      <c r="H61" s="370"/>
      <c r="I61" s="381"/>
      <c r="J61" s="370"/>
      <c r="K61" s="370"/>
      <c r="L61" s="370"/>
      <c r="M61" s="379"/>
      <c r="N61" s="377"/>
    </row>
    <row r="62" spans="1:14" ht="15" customHeight="1">
      <c r="A62" s="355" t="s">
        <v>271</v>
      </c>
      <c r="B62" s="356" t="str">
        <f ca="1">CONCATENATE(WORLDCUP!AA40,"-",WORLDCUP!AF40)</f>
        <v>Curaçao-Ivory Coast</v>
      </c>
      <c r="C62" s="349" t="str">
        <f>CONCATENATE(IF(WORLDCUP!AC40&gt;WORLDCUP!AD40,1,IF(WORLDCUP!AC40&lt;WORLDCUP!AD40,2,IF(AND(WORLDCUP!AC40=WORLDCUP!AD40,WORLDCUP!AC40&lt;&gt;"",WORLDCUP!AD40&lt;&gt;""),"X",0))),"|",WORLDCUP!AC40,"-",WORLDCUP!AD40)</f>
        <v>2|1-3</v>
      </c>
      <c r="D62" s="693"/>
      <c r="E62" s="370"/>
      <c r="F62" s="370"/>
      <c r="G62" s="370"/>
      <c r="H62" s="370"/>
      <c r="I62" s="381"/>
      <c r="J62" s="370"/>
      <c r="K62" s="370"/>
      <c r="L62" s="370"/>
      <c r="M62" s="379"/>
      <c r="N62" s="377"/>
    </row>
    <row r="63" spans="1:14" ht="15" customHeight="1">
      <c r="A63" s="355" t="s">
        <v>271</v>
      </c>
      <c r="B63" s="356" t="str">
        <f ca="1">CONCATENATE(WORLDCUP!AA41,"-",WORLDCUP!AF41)</f>
        <v>Ecuador-Germany</v>
      </c>
      <c r="C63" s="349" t="str">
        <f>CONCATENATE(IF(WORLDCUP!AC41&gt;WORLDCUP!AD41,1,IF(WORLDCUP!AC41&lt;WORLDCUP!AD41,2,IF(AND(WORLDCUP!AC41=WORLDCUP!AD41,WORLDCUP!AC41&lt;&gt;"",WORLDCUP!AD41&lt;&gt;""),"X",0))),"|",WORLDCUP!AC41,"-",WORLDCUP!AD41)</f>
        <v>2|2-3</v>
      </c>
      <c r="D63" s="693"/>
      <c r="E63" s="370"/>
      <c r="F63" s="370"/>
      <c r="G63" s="370"/>
      <c r="H63" s="370"/>
      <c r="I63" s="381"/>
      <c r="J63" s="370"/>
      <c r="K63" s="370"/>
      <c r="L63" s="370"/>
      <c r="M63" s="379"/>
      <c r="N63" s="377"/>
    </row>
    <row r="64" spans="1:14" ht="15" customHeight="1">
      <c r="A64" s="38" t="s">
        <v>272</v>
      </c>
      <c r="B64" s="357" t="str">
        <f ca="1">CONCATENATE(WORLDCUP!AA48,"-",WORLDCUP!AF48)</f>
        <v>Japan-Sweden</v>
      </c>
      <c r="C64" s="349" t="str">
        <f>CONCATENATE(IF(WORLDCUP!AC48&gt;WORLDCUP!AD48,1,IF(WORLDCUP!AC48&lt;WORLDCUP!AD48,2,IF(AND(WORLDCUP!AC48=WORLDCUP!AD48,WORLDCUP!AC48&lt;&gt;"",WORLDCUP!AD48&lt;&gt;""),"X",0))),"|",WORLDCUP!AC48,"-",WORLDCUP!AD48)</f>
        <v>2|1-3</v>
      </c>
      <c r="D64" s="693"/>
      <c r="E64" s="370"/>
      <c r="F64" s="370"/>
      <c r="G64" s="370"/>
      <c r="H64" s="370"/>
      <c r="I64" s="381"/>
      <c r="J64" s="370"/>
      <c r="K64" s="370"/>
      <c r="L64" s="370"/>
      <c r="M64" s="379"/>
      <c r="N64" s="377"/>
    </row>
    <row r="65" spans="1:14" ht="15" customHeight="1">
      <c r="A65" s="38" t="s">
        <v>272</v>
      </c>
      <c r="B65" s="357" t="str">
        <f ca="1">CONCATENATE(WORLDCUP!AA49,"-",WORLDCUP!AF49)</f>
        <v>Tunisia-Netherlands</v>
      </c>
      <c r="C65" s="349" t="str">
        <f>CONCATENATE(IF(WORLDCUP!AC49&gt;WORLDCUP!AD49,1,IF(WORLDCUP!AC49&lt;WORLDCUP!AD49,2,IF(AND(WORLDCUP!AC49=WORLDCUP!AD49,WORLDCUP!AC49&lt;&gt;"",WORLDCUP!AD49&lt;&gt;""),"X",0))),"|",WORLDCUP!AC49,"-",WORLDCUP!AD49)</f>
        <v>2|1-2</v>
      </c>
      <c r="D65" s="693"/>
      <c r="E65" s="370"/>
      <c r="F65" s="370"/>
      <c r="G65" s="370"/>
      <c r="H65" s="370"/>
      <c r="I65" s="381"/>
      <c r="J65" s="370"/>
      <c r="K65" s="370"/>
      <c r="L65" s="370"/>
      <c r="M65" s="379"/>
      <c r="N65" s="377"/>
    </row>
    <row r="66" spans="1:14" ht="15" customHeight="1">
      <c r="A66" s="355" t="s">
        <v>273</v>
      </c>
      <c r="B66" s="356" t="str">
        <f ca="1">CONCATENATE(WORLDCUP!AA56,"-",WORLDCUP!AF56)</f>
        <v>Egypt-Iran</v>
      </c>
      <c r="C66" s="349" t="str">
        <f>CONCATENATE(IF(WORLDCUP!AC56&gt;WORLDCUP!AD56,1,IF(WORLDCUP!AC56&lt;WORLDCUP!AD56,2,IF(AND(WORLDCUP!AC56=WORLDCUP!AD56,WORLDCUP!AC56&lt;&gt;"",WORLDCUP!AD56&lt;&gt;""),"X",0))),"|",WORLDCUP!AC56,"-",WORLDCUP!AD56)</f>
        <v>1|3-0</v>
      </c>
      <c r="D66" s="693"/>
      <c r="E66" s="370"/>
      <c r="F66" s="370"/>
      <c r="G66" s="370"/>
      <c r="H66" s="370"/>
      <c r="I66" s="381"/>
      <c r="J66" s="370"/>
      <c r="K66" s="370"/>
      <c r="L66" s="370"/>
      <c r="M66" s="379"/>
      <c r="N66" s="377"/>
    </row>
    <row r="67" spans="1:14" ht="15" customHeight="1">
      <c r="A67" s="355" t="s">
        <v>273</v>
      </c>
      <c r="B67" s="356" t="str">
        <f ca="1">CONCATENATE(WORLDCUP!AA57,"-",WORLDCUP!AF57)</f>
        <v>New Zealand-Belgium</v>
      </c>
      <c r="C67" s="349" t="str">
        <f>CONCATENATE(IF(WORLDCUP!AC57&gt;WORLDCUP!AD57,1,IF(WORLDCUP!AC57&lt;WORLDCUP!AD57,2,IF(AND(WORLDCUP!AC57=WORLDCUP!AD57,WORLDCUP!AC57&lt;&gt;"",WORLDCUP!AD57&lt;&gt;""),"X",0))),"|",WORLDCUP!AC57,"-",WORLDCUP!AD57)</f>
        <v>2|1-2</v>
      </c>
      <c r="D67" s="693"/>
      <c r="E67" s="370"/>
      <c r="F67" s="370"/>
      <c r="G67" s="370"/>
      <c r="H67" s="370"/>
      <c r="I67" s="381"/>
      <c r="J67" s="370"/>
      <c r="K67" s="370"/>
      <c r="L67" s="370"/>
      <c r="M67" s="379"/>
      <c r="N67" s="377"/>
    </row>
    <row r="68" spans="1:14" ht="15" customHeight="1">
      <c r="A68" s="38" t="s">
        <v>274</v>
      </c>
      <c r="B68" s="357" t="str">
        <f ca="1">CONCATENATE(WORLDCUP!AA64,"-",WORLDCUP!AF64)</f>
        <v>Cape Verde-Saudi Arabia</v>
      </c>
      <c r="C68" s="349" t="str">
        <f>CONCATENATE(IF(WORLDCUP!AC64&gt;WORLDCUP!AD64,1,IF(WORLDCUP!AC64&lt;WORLDCUP!AD64,2,IF(AND(WORLDCUP!AC64=WORLDCUP!AD64,WORLDCUP!AC64&lt;&gt;"",WORLDCUP!AD64&lt;&gt;""),"X",0))),"|",WORLDCUP!AC64,"-",WORLDCUP!AD64)</f>
        <v>2|1-2</v>
      </c>
      <c r="D68" s="693"/>
      <c r="E68" s="370"/>
      <c r="F68" s="370"/>
      <c r="G68" s="370"/>
      <c r="H68" s="370"/>
      <c r="I68" s="381"/>
      <c r="J68" s="370"/>
      <c r="K68" s="370"/>
      <c r="L68" s="370"/>
      <c r="M68" s="379"/>
      <c r="N68" s="377"/>
    </row>
    <row r="69" spans="1:14" ht="15" customHeight="1">
      <c r="A69" s="38" t="s">
        <v>274</v>
      </c>
      <c r="B69" s="357" t="str">
        <f ca="1">CONCATENATE(WORLDCUP!AA65,"-",WORLDCUP!AF65)</f>
        <v>Uruguay-Spain</v>
      </c>
      <c r="C69" s="349" t="str">
        <f>CONCATENATE(IF(WORLDCUP!AC65&gt;WORLDCUP!AD65,1,IF(WORLDCUP!AC65&lt;WORLDCUP!AD65,2,IF(AND(WORLDCUP!AC65=WORLDCUP!AD65,WORLDCUP!AC65&lt;&gt;"",WORLDCUP!AD65&lt;&gt;""),"X",0))),"|",WORLDCUP!AC65,"-",WORLDCUP!AD65)</f>
        <v>X|2-2</v>
      </c>
      <c r="D69" s="693"/>
      <c r="E69" s="370"/>
      <c r="F69" s="370"/>
      <c r="G69" s="370"/>
      <c r="H69" s="370"/>
      <c r="I69" s="381"/>
      <c r="J69" s="370"/>
      <c r="K69" s="370"/>
      <c r="L69" s="370"/>
      <c r="M69" s="379"/>
      <c r="N69" s="377"/>
    </row>
    <row r="70" spans="1:14" ht="15" customHeight="1">
      <c r="A70" s="355" t="s">
        <v>275</v>
      </c>
      <c r="B70" s="356" t="str">
        <f ca="1">CONCATENATE(WORLDCUP!AA72,"-",WORLDCUP!AF72)</f>
        <v>Norway-France</v>
      </c>
      <c r="C70" s="349" t="str">
        <f>CONCATENATE(IF(WORLDCUP!AC72&gt;WORLDCUP!AD72,1,IF(WORLDCUP!AC72&lt;WORLDCUP!AD72,2,IF(AND(WORLDCUP!AC72=WORLDCUP!AD72,WORLDCUP!AC72&lt;&gt;"",WORLDCUP!AD72&lt;&gt;""),"X",0))),"|",WORLDCUP!AC72,"-",WORLDCUP!AD72)</f>
        <v>2|0-2</v>
      </c>
      <c r="D70" s="693"/>
      <c r="E70" s="370"/>
      <c r="F70" s="370"/>
      <c r="G70" s="370"/>
      <c r="H70" s="370"/>
      <c r="I70" s="381"/>
      <c r="J70" s="370"/>
      <c r="K70" s="370"/>
      <c r="L70" s="370"/>
      <c r="M70" s="379"/>
      <c r="N70" s="377"/>
    </row>
    <row r="71" spans="1:14" ht="15" customHeight="1">
      <c r="A71" s="355" t="s">
        <v>275</v>
      </c>
      <c r="B71" s="356" t="str">
        <f ca="1">CONCATENATE(WORLDCUP!AA73,"-",WORLDCUP!AF73)</f>
        <v>Senegal-Iraq</v>
      </c>
      <c r="C71" s="349" t="str">
        <f>CONCATENATE(IF(WORLDCUP!AC73&gt;WORLDCUP!AD73,1,IF(WORLDCUP!AC73&lt;WORLDCUP!AD73,2,IF(AND(WORLDCUP!AC73=WORLDCUP!AD73,WORLDCUP!AC73&lt;&gt;"",WORLDCUP!AD73&lt;&gt;""),"X",0))),"|",WORLDCUP!AC73,"-",WORLDCUP!AD73)</f>
        <v>1|3-0</v>
      </c>
      <c r="D71" s="693"/>
      <c r="E71" s="370"/>
      <c r="F71" s="370"/>
      <c r="G71" s="370"/>
      <c r="H71" s="370"/>
      <c r="I71" s="381"/>
      <c r="J71" s="370"/>
      <c r="K71" s="370"/>
      <c r="L71" s="370"/>
      <c r="M71" s="379"/>
      <c r="N71" s="377"/>
    </row>
    <row r="72" spans="1:14" ht="15" customHeight="1">
      <c r="A72" s="38" t="s">
        <v>276</v>
      </c>
      <c r="B72" s="357" t="str">
        <f ca="1">CONCATENATE(WORLDCUP!AA80,"-",WORLDCUP!AF80)</f>
        <v>Algeria-Austria</v>
      </c>
      <c r="C72" s="349" t="str">
        <f>CONCATENATE(IF(WORLDCUP!AC80&gt;WORLDCUP!AD80,1,IF(WORLDCUP!AC80&lt;WORLDCUP!AD80,2,IF(AND(WORLDCUP!AC80=WORLDCUP!AD80,WORLDCUP!AC80&lt;&gt;"",WORLDCUP!AD80&lt;&gt;""),"X",0))),"|",WORLDCUP!AC80,"-",WORLDCUP!AD80)</f>
        <v>2|1-2</v>
      </c>
      <c r="D72" s="693"/>
      <c r="E72" s="370"/>
      <c r="F72" s="370"/>
      <c r="G72" s="370"/>
      <c r="H72" s="370"/>
      <c r="I72" s="381"/>
      <c r="J72" s="370"/>
      <c r="K72" s="370"/>
      <c r="L72" s="370"/>
      <c r="M72" s="379"/>
      <c r="N72" s="377"/>
    </row>
    <row r="73" spans="1:14" ht="15" customHeight="1">
      <c r="A73" s="38" t="s">
        <v>276</v>
      </c>
      <c r="B73" s="357" t="str">
        <f ca="1">CONCATENATE(WORLDCUP!AA81,"-",WORLDCUP!AF81)</f>
        <v>Jordan-Argentina</v>
      </c>
      <c r="C73" s="349" t="str">
        <f>CONCATENATE(IF(WORLDCUP!AC81&gt;WORLDCUP!AD81,1,IF(WORLDCUP!AC81&lt;WORLDCUP!AD81,2,IF(AND(WORLDCUP!AC81=WORLDCUP!AD81,WORLDCUP!AC81&lt;&gt;"",WORLDCUP!AD81&lt;&gt;""),"X",0))),"|",WORLDCUP!AC81,"-",WORLDCUP!AD81)</f>
        <v>2|0-3</v>
      </c>
      <c r="D73" s="693"/>
      <c r="E73" s="370"/>
      <c r="F73" s="370"/>
      <c r="G73" s="370"/>
      <c r="H73" s="370"/>
      <c r="I73" s="381"/>
      <c r="J73" s="370"/>
      <c r="K73" s="370"/>
      <c r="L73" s="370"/>
      <c r="M73" s="379"/>
      <c r="N73" s="377"/>
    </row>
    <row r="74" spans="1:14" ht="15" customHeight="1">
      <c r="A74" s="355" t="s">
        <v>277</v>
      </c>
      <c r="B74" s="356" t="str">
        <f ca="1">CONCATENATE(WORLDCUP!AA88,"-",WORLDCUP!AF88)</f>
        <v>Colombia-Portugal</v>
      </c>
      <c r="C74" s="349" t="str">
        <f>CONCATENATE(IF(WORLDCUP!AC88&gt;WORLDCUP!AD88,1,IF(WORLDCUP!AC88&lt;WORLDCUP!AD88,2,IF(AND(WORLDCUP!AC88=WORLDCUP!AD88,WORLDCUP!AC88&lt;&gt;"",WORLDCUP!AD88&lt;&gt;""),"X",0))),"|",WORLDCUP!AC88,"-",WORLDCUP!AD88)</f>
        <v>X|2-2</v>
      </c>
      <c r="D74" s="693"/>
      <c r="E74" s="370"/>
      <c r="F74" s="370"/>
      <c r="G74" s="370"/>
      <c r="H74" s="370"/>
      <c r="I74" s="381"/>
      <c r="J74" s="370"/>
      <c r="K74" s="370"/>
      <c r="L74" s="370"/>
      <c r="M74" s="379"/>
      <c r="N74" s="377"/>
    </row>
    <row r="75" spans="1:14" ht="15" customHeight="1">
      <c r="A75" s="355" t="s">
        <v>277</v>
      </c>
      <c r="B75" s="356" t="str">
        <f ca="1">CONCATENATE(WORLDCUP!AA89,"-",WORLDCUP!AF89)</f>
        <v>DR Congo-Uzbekistan</v>
      </c>
      <c r="C75" s="349" t="str">
        <f>CONCATENATE(IF(WORLDCUP!AC89&gt;WORLDCUP!AD89,1,IF(WORLDCUP!AC89&lt;WORLDCUP!AD89,2,IF(AND(WORLDCUP!AC89=WORLDCUP!AD89,WORLDCUP!AC89&lt;&gt;"",WORLDCUP!AD89&lt;&gt;""),"X",0))),"|",WORLDCUP!AC89,"-",WORLDCUP!AD89)</f>
        <v>1|2-0</v>
      </c>
      <c r="D75" s="693"/>
      <c r="E75" s="370"/>
      <c r="F75" s="370"/>
      <c r="G75" s="370"/>
      <c r="H75" s="370"/>
      <c r="I75" s="381"/>
      <c r="J75" s="370"/>
      <c r="K75" s="370"/>
      <c r="L75" s="370"/>
      <c r="M75" s="379"/>
      <c r="N75" s="377"/>
    </row>
    <row r="76" spans="1:14" ht="15" customHeight="1">
      <c r="A76" s="38" t="s">
        <v>278</v>
      </c>
      <c r="B76" s="357" t="str">
        <f ca="1">CONCATENATE(WORLDCUP!AA96,"-",WORLDCUP!AF96)</f>
        <v>Panama-England</v>
      </c>
      <c r="C76" s="349" t="str">
        <f>CONCATENATE(IF(WORLDCUP!AC96&gt;WORLDCUP!AD96,1,IF(WORLDCUP!AC96&lt;WORLDCUP!AD96,2,IF(AND(WORLDCUP!AC96=WORLDCUP!AD96,WORLDCUP!AC96&lt;&gt;"",WORLDCUP!AD96&lt;&gt;""),"X",0))),"|",WORLDCUP!AC96,"-",WORLDCUP!AD96)</f>
        <v>2|1-2</v>
      </c>
      <c r="D76" s="693"/>
      <c r="E76" s="370"/>
      <c r="F76" s="370"/>
      <c r="G76" s="370"/>
      <c r="H76" s="370"/>
      <c r="I76" s="381"/>
      <c r="J76" s="370"/>
      <c r="K76" s="370"/>
      <c r="L76" s="370"/>
      <c r="M76" s="379"/>
      <c r="N76" s="377"/>
    </row>
    <row r="77" spans="1:14" ht="15" customHeight="1">
      <c r="A77" s="38" t="s">
        <v>278</v>
      </c>
      <c r="B77" s="357" t="str">
        <f ca="1">CONCATENATE(WORLDCUP!AA97,"-",WORLDCUP!AF97)</f>
        <v>Croatia-Ghana</v>
      </c>
      <c r="C77" s="349" t="str">
        <f>CONCATENATE(IF(WORLDCUP!AC97&gt;WORLDCUP!AD97,1,IF(WORLDCUP!AC97&lt;WORLDCUP!AD97,2,IF(AND(WORLDCUP!AC97=WORLDCUP!AD97,WORLDCUP!AC97&lt;&gt;"",WORLDCUP!AD97&lt;&gt;""),"X",0))),"|",WORLDCUP!AC97,"-",WORLDCUP!AD97)</f>
        <v>2|2-3</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95" customHeight="1">
      <c r="A79" s="353"/>
      <c r="B79" s="358" t="str">
        <f>Idiomas!D126</f>
        <v>GROUP POSITION</v>
      </c>
      <c r="C79" s="350"/>
      <c r="D79" s="693"/>
      <c r="E79" s="370"/>
      <c r="F79" s="370"/>
      <c r="G79" s="370"/>
      <c r="H79" s="370"/>
      <c r="I79" s="381"/>
      <c r="J79" s="370"/>
      <c r="K79" s="370"/>
      <c r="L79" s="370"/>
      <c r="M79" s="379"/>
      <c r="N79" s="377"/>
    </row>
    <row r="80" spans="1:14" ht="15" customHeight="1">
      <c r="A80" s="696" t="s">
        <v>30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Czech Republic</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South Korea</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South Africa</v>
      </c>
      <c r="D83" s="693"/>
      <c r="E83" s="370"/>
      <c r="F83" s="370"/>
      <c r="G83" s="370"/>
      <c r="H83" s="370"/>
      <c r="I83" s="381"/>
      <c r="J83" s="370"/>
      <c r="K83" s="370"/>
      <c r="L83" s="370"/>
      <c r="M83" s="379"/>
      <c r="N83" s="377"/>
    </row>
    <row r="84" spans="1:14" ht="15" customHeight="1">
      <c r="A84" s="695" t="s">
        <v>90</v>
      </c>
      <c r="B84" s="357" t="str">
        <f>Idiomas!D144</f>
        <v>1st GROUP B</v>
      </c>
      <c r="C84" s="349" t="str">
        <f ca="1">IF(OR(SUM(WORLDCUP!$AN$14:$AN$17)=12,WORLDCUP!$AJ$99=144),WORLDCUP!AL14,B84)</f>
        <v>Canada</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Bosnia and Herzegovina</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Switzerland</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Qatar</v>
      </c>
      <c r="D87" s="693"/>
      <c r="E87" s="370"/>
      <c r="F87" s="370"/>
      <c r="G87" s="370"/>
      <c r="H87" s="370"/>
      <c r="I87" s="381"/>
      <c r="J87" s="370"/>
      <c r="K87" s="370"/>
      <c r="L87" s="370"/>
      <c r="M87" s="379"/>
      <c r="N87" s="377"/>
    </row>
    <row r="88" spans="1:14" ht="15" customHeight="1">
      <c r="A88" s="696" t="s">
        <v>99</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Morocco</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Scotland</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108</v>
      </c>
      <c r="B92" s="357" t="str">
        <f>Idiomas!D152</f>
        <v>1st GROUP D</v>
      </c>
      <c r="C92" s="349" t="str">
        <f ca="1">IF(OR(SUM(WORLDCUP!$AN$30:$AN$33)=12,WORLDCUP!$AJ$99=144),WORLDCUP!AL30,B92)</f>
        <v>Turkey</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United States</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Australia</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Paraguay</v>
      </c>
      <c r="D95" s="693"/>
      <c r="E95" s="370"/>
      <c r="F95" s="370"/>
      <c r="G95" s="370"/>
      <c r="H95" s="370"/>
      <c r="I95" s="381"/>
      <c r="J95" s="370"/>
      <c r="K95" s="370"/>
      <c r="L95" s="370"/>
      <c r="M95" s="379"/>
      <c r="N95" s="377"/>
    </row>
    <row r="96" spans="1:14" ht="15" customHeight="1">
      <c r="A96" s="696" t="s">
        <v>117</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Ecuador</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Ivory Coast</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Curaçao</v>
      </c>
      <c r="D99" s="693"/>
      <c r="E99" s="370"/>
      <c r="F99" s="370"/>
      <c r="G99" s="370"/>
      <c r="H99" s="370"/>
      <c r="I99" s="381"/>
      <c r="J99" s="370"/>
      <c r="K99" s="370"/>
      <c r="L99" s="370"/>
      <c r="M99" s="379"/>
      <c r="N99" s="377"/>
    </row>
    <row r="100" spans="1:14" ht="15" customHeight="1">
      <c r="A100" s="695" t="s">
        <v>126</v>
      </c>
      <c r="B100" s="357" t="str">
        <f>Idiomas!D160</f>
        <v>1st GROUP F</v>
      </c>
      <c r="C100" s="349" t="str">
        <f ca="1">IF(OR(SUM(WORLDCUP!$AN$46:$AN$49)=12,WORLDCUP!$AJ$99=144),WORLDCUP!AL46,B100)</f>
        <v>Sweden</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Netherlands</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Tunisia</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Japan</v>
      </c>
      <c r="D103" s="693"/>
      <c r="E103" s="370"/>
      <c r="F103" s="370"/>
      <c r="G103" s="370"/>
      <c r="H103" s="370"/>
      <c r="I103" s="381"/>
      <c r="J103" s="370"/>
      <c r="K103" s="370"/>
      <c r="L103" s="370"/>
      <c r="M103" s="379"/>
      <c r="N103" s="377"/>
    </row>
    <row r="104" spans="1:14" ht="15" customHeight="1">
      <c r="A104" s="696" t="s">
        <v>135</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New Zealand</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Egypt</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Iran</v>
      </c>
      <c r="D107" s="693"/>
      <c r="E107" s="370"/>
      <c r="F107" s="370"/>
      <c r="G107" s="370"/>
      <c r="H107" s="370"/>
      <c r="I107" s="381"/>
      <c r="J107" s="370"/>
      <c r="K107" s="370"/>
      <c r="L107" s="370"/>
      <c r="M107" s="379"/>
      <c r="N107" s="377"/>
    </row>
    <row r="108" spans="1:14" ht="15" customHeight="1">
      <c r="A108" s="695" t="s">
        <v>140</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Uruguay</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Saudi Arabia</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Cape Verde</v>
      </c>
      <c r="D111" s="693"/>
      <c r="E111" s="370"/>
      <c r="F111" s="370"/>
      <c r="G111" s="370"/>
      <c r="H111" s="370"/>
      <c r="I111" s="381"/>
      <c r="J111" s="370"/>
      <c r="K111" s="370"/>
      <c r="L111" s="370"/>
      <c r="M111" s="379"/>
      <c r="N111" s="377"/>
    </row>
    <row r="112" spans="1:14" ht="15" customHeight="1">
      <c r="A112" s="696" t="s">
        <v>141</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Senegal</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Norway</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Iraq</v>
      </c>
      <c r="D115" s="693"/>
      <c r="E115" s="370"/>
      <c r="F115" s="370"/>
      <c r="G115" s="370"/>
      <c r="H115" s="370"/>
      <c r="I115" s="381"/>
      <c r="J115" s="370"/>
      <c r="K115" s="370"/>
      <c r="L115" s="370"/>
      <c r="M115" s="379"/>
      <c r="N115" s="377"/>
    </row>
    <row r="116" spans="1:14" ht="15" customHeight="1">
      <c r="A116" s="695" t="s">
        <v>142</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Algeria</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Jordan</v>
      </c>
      <c r="D119" s="693"/>
      <c r="E119" s="370"/>
      <c r="F119" s="370"/>
      <c r="G119" s="370"/>
      <c r="H119" s="370"/>
      <c r="I119" s="381"/>
      <c r="J119" s="370"/>
      <c r="K119" s="370"/>
      <c r="L119" s="370"/>
      <c r="M119" s="379"/>
      <c r="N119" s="377"/>
    </row>
    <row r="120" spans="1:14" ht="15" customHeight="1">
      <c r="A120" s="696" t="s">
        <v>143</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DR Congo</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Uzbekistan</v>
      </c>
      <c r="D123" s="693"/>
      <c r="E123" s="370"/>
      <c r="F123" s="370"/>
      <c r="G123" s="370"/>
      <c r="H123" s="370"/>
      <c r="I123" s="381"/>
      <c r="J123" s="370"/>
      <c r="K123" s="370"/>
      <c r="L123" s="370"/>
      <c r="M123" s="379"/>
      <c r="N123" s="377"/>
    </row>
    <row r="124" spans="1:14" ht="15" customHeight="1">
      <c r="A124" s="695" t="s">
        <v>144</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Ghana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Croatia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95"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153</v>
      </c>
      <c r="B130" s="360" t="str">
        <f>Idiomas!$D$188</f>
        <v>16-Finalist</v>
      </c>
      <c r="C130" s="349" t="str">
        <f ca="1">WORLDCUP!AA101</f>
        <v>Czech Republic</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Sweden</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Ecuador</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Turkey</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Canada</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United States</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Bosnia and Herzegovina</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Netherlands</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South Korea</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Morocco</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Senegal</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Scotland</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Ivory Coast</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DR Congo</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Norway</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Switzerland</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Ghana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Egypt</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New Zealand</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Uruguay</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Croatia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153</v>
      </c>
      <c r="B164" s="360" t="str">
        <f ca="1">CONCATENATE(WORLDCUP!AA101,"-",WORLDCUP!AF101)</f>
        <v>Czech Republic-Bosnia and Herzegovina</v>
      </c>
      <c r="C164" s="349" t="str">
        <f ca="1">CONCATENATE(WORLDCUP!AA101,"-",WORLDCUP!AF101,"·",IF(WORLDCUP!AC101&gt;WORLDCUP!AD101,1,IF(WORLDCUP!AC101&lt;WORLDCUP!AD101,2,IF(AND(WORLDCUP!AC101=WORLDCUP!AD101,WORLDCUP!AC101&lt;&gt;"",WORLDCUP!AD101&lt;&gt;""),"X",0))),"|",WORLDCUP!AC101,"-",WORLDCUP!AD101)</f>
        <v>Czech Republic-Bosnia and Herzegovina·1|3-1</v>
      </c>
      <c r="D164" s="692" t="s">
        <v>153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Brazil-Netherlands</v>
      </c>
      <c r="C165" s="349" t="str">
        <f ca="1">CONCATENATE(WORLDCUP!AA102,"-",WORLDCUP!AF102,"·",IF(WORLDCUP!AC102&gt;WORLDCUP!AD102,1,IF(WORLDCUP!AC102&lt;WORLDCUP!AD102,2,IF(AND(WORLDCUP!AC102=WORLDCUP!AD102,WORLDCUP!AC102&lt;&gt;"",WORLDCUP!AD102&lt;&gt;""),"X",0))),"|",WORLDCUP!AC102,"-",WORLDCUP!AD102)</f>
        <v>Brazil-Netherlands·1|3-2</v>
      </c>
      <c r="D165" s="692"/>
      <c r="E165" s="711"/>
      <c r="F165" s="711"/>
      <c r="G165" s="711"/>
      <c r="H165" s="711"/>
      <c r="I165" s="352"/>
      <c r="J165" s="370"/>
      <c r="K165" s="370"/>
      <c r="L165" s="370"/>
      <c r="M165" s="386"/>
      <c r="N165" s="377"/>
    </row>
    <row r="166" spans="1:14" ht="15" customHeight="1">
      <c r="A166" s="690"/>
      <c r="B166" s="360" t="str">
        <f ca="1">CONCATENATE(WORLDCUP!AA103,"-",WORLDCUP!AF103)</f>
        <v>Germany-South Korea</v>
      </c>
      <c r="C166" s="349" t="str">
        <f ca="1">CONCATENATE(WORLDCUP!AA103,"-",WORLDCUP!AF103,"·",IF(WORLDCUP!AC103&gt;WORLDCUP!AD103,1,IF(WORLDCUP!AC103&lt;WORLDCUP!AD103,2,IF(AND(WORLDCUP!AC103=WORLDCUP!AD103,WORLDCUP!AC103&lt;&gt;"",WORLDCUP!AD103&lt;&gt;""),"X",0))),"|",WORLDCUP!AC103,"-",WORLDCUP!AD103)</f>
        <v>Germany-South Korea·1|3-1</v>
      </c>
      <c r="D166" s="692"/>
      <c r="E166" s="711"/>
      <c r="F166" s="711"/>
      <c r="G166" s="711"/>
      <c r="H166" s="711"/>
      <c r="I166" s="352"/>
      <c r="J166" s="370"/>
      <c r="K166" s="370"/>
      <c r="L166" s="370"/>
      <c r="M166" s="386"/>
      <c r="N166" s="377"/>
    </row>
    <row r="167" spans="1:14" ht="15" customHeight="1">
      <c r="A167" s="690"/>
      <c r="B167" s="360" t="str">
        <f ca="1">CONCATENATE(WORLDCUP!AA104,"-",WORLDCUP!AF104)</f>
        <v>Sweden-Morocco</v>
      </c>
      <c r="C167" s="349" t="str">
        <f ca="1">CONCATENATE(WORLDCUP!AA104,"-",WORLDCUP!AF104,"·",IF(WORLDCUP!AC104&gt;WORLDCUP!AD104,1,IF(WORLDCUP!AC104&lt;WORLDCUP!AD104,2,IF(AND(WORLDCUP!AC104=WORLDCUP!AD104,WORLDCUP!AC104&lt;&gt;"",WORLDCUP!AD104&lt;&gt;""),"X",0))),"|",WORLDCUP!AC104,"-",WORLDCUP!AD104)</f>
        <v>Sweden-Morocco·2|1-2</v>
      </c>
      <c r="D167" s="692"/>
      <c r="E167" s="711"/>
      <c r="F167" s="711"/>
      <c r="G167" s="711"/>
      <c r="H167" s="711"/>
      <c r="I167" s="352"/>
      <c r="J167" s="370"/>
      <c r="K167" s="370"/>
      <c r="L167" s="370"/>
      <c r="M167" s="386"/>
      <c r="N167" s="377"/>
    </row>
    <row r="168" spans="1:14" ht="15" customHeight="1">
      <c r="A168" s="690"/>
      <c r="B168" s="360" t="str">
        <f ca="1">CONCATENATE(WORLDCUP!AA105,"-",WORLDCUP!AF105)</f>
        <v>Ecuador-Senegal</v>
      </c>
      <c r="C168" s="349" t="str">
        <f ca="1">CONCATENATE(WORLDCUP!AA105,"-",WORLDCUP!AF105,"·",IF(WORLDCUP!AC105&gt;WORLDCUP!AD105,1,IF(WORLDCUP!AC105&lt;WORLDCUP!AD105,2,IF(AND(WORLDCUP!AC105=WORLDCUP!AD105,WORLDCUP!AC105&lt;&gt;"",WORLDCUP!AD105&lt;&gt;""),"X",0))),"|",WORLDCUP!AC105,"-",WORLDCUP!AD105)</f>
        <v>Ecuador-Senegal·2|1-2</v>
      </c>
      <c r="D168" s="692"/>
      <c r="E168" s="370"/>
      <c r="F168" s="370"/>
      <c r="G168" s="370"/>
      <c r="H168" s="370"/>
      <c r="I168" s="352"/>
      <c r="J168" s="370"/>
      <c r="K168" s="370"/>
      <c r="L168" s="370"/>
      <c r="M168" s="386"/>
      <c r="N168" s="377"/>
    </row>
    <row r="169" spans="1:14" ht="15" customHeight="1">
      <c r="A169" s="690"/>
      <c r="B169" s="360" t="str">
        <f ca="1">CONCATENATE(WORLDCUP!AA106,"-",WORLDCUP!AF106)</f>
        <v>France-Scotland</v>
      </c>
      <c r="C169" s="349" t="str">
        <f ca="1">CONCATENATE(WORLDCUP!AA106,"-",WORLDCUP!AF106,"·",IF(WORLDCUP!AC106&gt;WORLDCUP!AD106,1,IF(WORLDCUP!AC106&lt;WORLDCUP!AD106,2,IF(AND(WORLDCUP!AC106=WORLDCUP!AD106,WORLDCUP!AC106&lt;&gt;"",WORLDCUP!AD106&lt;&gt;""),"X",0))),"|",WORLDCUP!AC106,"-",WORLDCUP!AD106)</f>
        <v>France-Scotland·1|3-1</v>
      </c>
      <c r="D169" s="692"/>
      <c r="E169" s="370"/>
      <c r="F169" s="370"/>
      <c r="G169" s="370"/>
      <c r="H169" s="370"/>
      <c r="I169" s="352"/>
      <c r="J169" s="370"/>
      <c r="K169" s="370"/>
      <c r="L169" s="370"/>
      <c r="M169" s="386"/>
      <c r="N169" s="377"/>
    </row>
    <row r="170" spans="1:14" ht="15" customHeight="1">
      <c r="A170" s="690"/>
      <c r="B170" s="360" t="str">
        <f ca="1">CONCATENATE(WORLDCUP!AA107,"-",WORLDCUP!AF107)</f>
        <v>Mexico-Ivory Coast</v>
      </c>
      <c r="C170" s="349" t="str">
        <f ca="1">CONCATENATE(WORLDCUP!AA107,"-",WORLDCUP!AF107,"·",IF(WORLDCUP!AC107&gt;WORLDCUP!AD107,1,IF(WORLDCUP!AC107&lt;WORLDCUP!AD107,2,IF(AND(WORLDCUP!AC107=WORLDCUP!AD107,WORLDCUP!AC107&lt;&gt;"",WORLDCUP!AD107&lt;&gt;""),"X",0))),"|",WORLDCUP!AC107,"-",WORLDCUP!AD107)</f>
        <v>Mexico-Ivory Coast·1|2-1</v>
      </c>
      <c r="D170" s="692"/>
      <c r="E170" s="370"/>
      <c r="F170" s="370"/>
      <c r="G170" s="370"/>
      <c r="H170" s="370"/>
      <c r="I170" s="352"/>
      <c r="J170" s="370"/>
      <c r="K170" s="370"/>
      <c r="L170" s="370"/>
      <c r="M170" s="386"/>
      <c r="N170" s="377"/>
    </row>
    <row r="171" spans="1:14" ht="15" customHeight="1">
      <c r="A171" s="690"/>
      <c r="B171" s="360" t="str">
        <f ca="1">CONCATENATE(WORLDCUP!AA108,"-",WORLDCUP!AF108)</f>
        <v>England-DR Congo</v>
      </c>
      <c r="C171" s="349" t="str">
        <f ca="1">CONCATENATE(WORLDCUP!AA108,"-",WORLDCUP!AF108,"·",IF(WORLDCUP!AC108&gt;WORLDCUP!AD108,1,IF(WORLDCUP!AC108&lt;WORLDCUP!AD108,2,IF(AND(WORLDCUP!AC108=WORLDCUP!AD108,WORLDCUP!AC108&lt;&gt;"",WORLDCUP!AD108&lt;&gt;""),"X",0))),"|",WORLDCUP!AC108,"-",WORLDCUP!AD108)</f>
        <v>England-DR Congo·1|1-0</v>
      </c>
      <c r="D171" s="692"/>
      <c r="E171" s="370"/>
      <c r="F171" s="370"/>
      <c r="G171" s="370"/>
      <c r="H171" s="370"/>
      <c r="I171" s="352"/>
      <c r="J171" s="370"/>
      <c r="K171" s="370"/>
      <c r="L171" s="370"/>
      <c r="M171" s="386"/>
      <c r="N171" s="377"/>
    </row>
    <row r="172" spans="1:14" ht="15" customHeight="1">
      <c r="A172" s="690"/>
      <c r="B172" s="360" t="str">
        <f ca="1">CONCATENATE(WORLDCUP!AA109,"-",WORLDCUP!AF109)</f>
        <v>Belgium-Norway</v>
      </c>
      <c r="C172" s="349" t="str">
        <f ca="1">CONCATENATE(WORLDCUP!AA109,"-",WORLDCUP!AF109,"·",IF(WORLDCUP!AC109&gt;WORLDCUP!AD109,1,IF(WORLDCUP!AC109&lt;WORLDCUP!AD109,2,IF(AND(WORLDCUP!AC109=WORLDCUP!AD109,WORLDCUP!AC109&lt;&gt;"",WORLDCUP!AD109&lt;&gt;""),"X",0))),"|",WORLDCUP!AC109,"-",WORLDCUP!AD109)</f>
        <v>Belgium-Norway·1|2-0</v>
      </c>
      <c r="D172" s="692"/>
      <c r="E172" s="370"/>
      <c r="F172" s="370"/>
      <c r="G172" s="370"/>
      <c r="H172" s="370"/>
      <c r="I172" s="352"/>
      <c r="J172" s="370"/>
      <c r="K172" s="370"/>
      <c r="L172" s="370"/>
      <c r="M172" s="386"/>
      <c r="N172" s="377"/>
    </row>
    <row r="173" spans="1:14" ht="15" customHeight="1">
      <c r="A173" s="690"/>
      <c r="B173" s="360" t="str">
        <f ca="1">CONCATENATE(WORLDCUP!AA110,"-",WORLDCUP!AF110)</f>
        <v>Turkey-Switzerland</v>
      </c>
      <c r="C173" s="349" t="str">
        <f ca="1">CONCATENATE(WORLDCUP!AA110,"-",WORLDCUP!AF110,"·",IF(WORLDCUP!AC110&gt;WORLDCUP!AD110,1,IF(WORLDCUP!AC110&lt;WORLDCUP!AD110,2,IF(AND(WORLDCUP!AC110=WORLDCUP!AD110,WORLDCUP!AC110&lt;&gt;"",WORLDCUP!AD110&lt;&gt;""),"X",0))),"|",WORLDCUP!AC110,"-",WORLDCUP!AD110)</f>
        <v>Turkey-Switzerland·1|3-1</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Spain-Austria·1|3-1</v>
      </c>
      <c r="D174" s="692"/>
      <c r="E174" s="370"/>
      <c r="F174" s="370"/>
      <c r="G174" s="370"/>
      <c r="H174" s="370"/>
      <c r="I174" s="352"/>
      <c r="J174" s="370"/>
      <c r="K174" s="370"/>
      <c r="L174" s="370"/>
      <c r="M174" s="386"/>
      <c r="N174" s="377"/>
    </row>
    <row r="175" spans="1:14" ht="15" customHeight="1">
      <c r="A175" s="690"/>
      <c r="B175" s="360" t="str">
        <f ca="1">CONCATENATE(WORLDCUP!AA112,"-",WORLDCUP!AF112)</f>
        <v>Colombia-Ghana</v>
      </c>
      <c r="C175" s="349" t="str">
        <f ca="1">CONCATENATE(WORLDCUP!AA112,"-",WORLDCUP!AF112,"·",IF(WORLDCUP!AC112&gt;WORLDCUP!AD112,1,IF(WORLDCUP!AC112&lt;WORLDCUP!AD112,2,IF(AND(WORLDCUP!AC112=WORLDCUP!AD112,WORLDCUP!AC112&lt;&gt;"",WORLDCUP!AD112&lt;&gt;""),"X",0))),"|",WORLDCUP!AC112,"-",WORLDCUP!AD112)</f>
        <v>Colombia-Ghana·2|1-2</v>
      </c>
      <c r="D175" s="692"/>
      <c r="E175" s="370"/>
      <c r="F175" s="370"/>
      <c r="G175" s="370"/>
      <c r="H175" s="370"/>
      <c r="I175" s="352"/>
      <c r="J175" s="370"/>
      <c r="K175" s="370"/>
      <c r="L175" s="370"/>
      <c r="M175" s="386"/>
      <c r="N175" s="377"/>
    </row>
    <row r="176" spans="1:14" ht="15" customHeight="1">
      <c r="A176" s="690"/>
      <c r="B176" s="360" t="str">
        <f ca="1">CONCATENATE(WORLDCUP!AA113,"-",WORLDCUP!AF113)</f>
        <v>Canada-Egypt</v>
      </c>
      <c r="C176" s="349" t="str">
        <f ca="1">CONCATENATE(WORLDCUP!AA113,"-",WORLDCUP!AF113,"·",IF(WORLDCUP!AC113&gt;WORLDCUP!AD113,1,IF(WORLDCUP!AC113&lt;WORLDCUP!AD113,2,IF(AND(WORLDCUP!AC113=WORLDCUP!AD113,WORLDCUP!AC113&lt;&gt;"",WORLDCUP!AD113&lt;&gt;""),"X",0))),"|",WORLDCUP!AC113,"-",WORLDCUP!AD113)</f>
        <v>Canada-Egypt·1|2-1</v>
      </c>
      <c r="D176" s="692"/>
      <c r="E176" s="370"/>
      <c r="F176" s="370"/>
      <c r="G176" s="370"/>
      <c r="H176" s="370"/>
      <c r="I176" s="352"/>
      <c r="J176" s="370"/>
      <c r="K176" s="370"/>
      <c r="L176" s="370"/>
      <c r="M176" s="386"/>
      <c r="N176" s="377"/>
    </row>
    <row r="177" spans="1:14" ht="15" customHeight="1">
      <c r="A177" s="690"/>
      <c r="B177" s="360" t="str">
        <f ca="1">CONCATENATE(WORLDCUP!AA114,"-",WORLDCUP!AF114)</f>
        <v>United States-New Zealand</v>
      </c>
      <c r="C177" s="349" t="str">
        <f ca="1">CONCATENATE(WORLDCUP!AA114,"-",WORLDCUP!AF114,"·",IF(WORLDCUP!AC114&gt;WORLDCUP!AD114,1,IF(WORLDCUP!AC114&lt;WORLDCUP!AD114,2,IF(AND(WORLDCUP!AC114=WORLDCUP!AD114,WORLDCUP!AC114&lt;&gt;"",WORLDCUP!AD114&lt;&gt;""),"X",0))),"|",WORLDCUP!AC114,"-",WORLDCUP!AD114)</f>
        <v>United States-New Zealand·1|3-0</v>
      </c>
      <c r="D177" s="692"/>
      <c r="E177" s="370"/>
      <c r="F177" s="370"/>
      <c r="G177" s="370"/>
      <c r="H177" s="370"/>
      <c r="I177" s="352"/>
      <c r="J177" s="370"/>
      <c r="K177" s="370"/>
      <c r="L177" s="370"/>
      <c r="M177" s="386"/>
      <c r="N177" s="377"/>
    </row>
    <row r="178" spans="1:14" ht="15" customHeight="1">
      <c r="A178" s="690"/>
      <c r="B178" s="360" t="str">
        <f ca="1">CONCATENATE(WORLDCUP!AA115,"-",WORLDCUP!AF115)</f>
        <v>Argentina-Uruguay</v>
      </c>
      <c r="C178" s="349" t="str">
        <f ca="1">CONCATENATE(WORLDCUP!AA115,"-",WORLDCUP!AF115,"·",IF(WORLDCUP!AC115&gt;WORLDCUP!AD115,1,IF(WORLDCUP!AC115&lt;WORLDCUP!AD115,2,IF(AND(WORLDCUP!AC115=WORLDCUP!AD115,WORLDCUP!AC115&lt;&gt;"",WORLDCUP!AD115&lt;&gt;""),"X",0))),"|",WORLDCUP!AC115,"-",WORLDCUP!AD115)</f>
        <v>Argentina-Uruguay·1|2-1</v>
      </c>
      <c r="D178" s="692"/>
      <c r="E178" s="370"/>
      <c r="F178" s="370"/>
      <c r="G178" s="370"/>
      <c r="H178" s="370"/>
      <c r="I178" s="352"/>
      <c r="J178" s="370"/>
      <c r="K178" s="370"/>
      <c r="L178" s="370"/>
      <c r="M178" s="386"/>
      <c r="N178" s="377"/>
    </row>
    <row r="179" spans="1:14" ht="15" customHeight="1">
      <c r="A179" s="690"/>
      <c r="B179" s="360" t="str">
        <f ca="1">CONCATENATE(WORLDCUP!AA116,"-",WORLDCUP!AF116)</f>
        <v>Portugal-Croatia</v>
      </c>
      <c r="C179" s="349" t="str">
        <f ca="1">CONCATENATE(WORLDCUP!AA116,"-",WORLDCUP!AF116,"·",IF(WORLDCUP!AC116&gt;WORLDCUP!AD116,1,IF(WORLDCUP!AC116&lt;WORLDCUP!AD116,2,IF(AND(WORLDCUP!AC116=WORLDCUP!AD116,WORLDCUP!AC116&lt;&gt;"",WORLDCUP!AD116&lt;&gt;""),"X",0))),"|",WORLDCUP!AC116,"-",WORLDCUP!AD116)</f>
        <v>Portugal-Croatia·1|3-2</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95"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186</v>
      </c>
      <c r="B182" s="360" t="str">
        <f>Idiomas!$D$189</f>
        <v>8-Finalist</v>
      </c>
      <c r="C182" s="349" t="str">
        <f ca="1">WORLDCUP!AA120</f>
        <v>Czech Republic</v>
      </c>
      <c r="D182" s="692"/>
      <c r="E182" s="370"/>
      <c r="F182" s="370"/>
      <c r="G182" s="370"/>
      <c r="H182" s="370"/>
      <c r="I182" s="352"/>
      <c r="J182" s="370"/>
      <c r="K182" s="370"/>
      <c r="L182" s="370"/>
      <c r="M182" s="386"/>
      <c r="N182" s="377"/>
    </row>
    <row r="183" spans="1:14" ht="15" customHeight="1">
      <c r="A183" s="690"/>
      <c r="B183" s="360" t="str">
        <f>B182</f>
        <v>8-Finalist</v>
      </c>
      <c r="C183" s="349" t="str">
        <f ca="1">WORLDCUP!AA121</f>
        <v>Germany</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Ghana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Turkey</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Canada</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Morocco</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Senegal</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United States</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Portugal</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95"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186</v>
      </c>
      <c r="B200" s="361" t="str">
        <f ca="1">CONCATENATE(WORLDCUP!AA120,"-",WORLDCUP!AF120)</f>
        <v>Czech Republic-Morocco</v>
      </c>
      <c r="C200" s="351" t="str">
        <f ca="1">CONCATENATE(WORLDCUP!AA120,"-",WORLDCUP!AF120,"·",IF(WORLDCUP!AC120&gt;WORLDCUP!AD120,1,IF(WORLDCUP!AC120&lt;WORLDCUP!AD120,2,IF(AND(WORLDCUP!AC120=WORLDCUP!AD120,WORLDCUP!AC120&lt;&gt;"",WORLDCUP!AD120&lt;&gt;""),"X",0))),"|",WORLDCUP!AC120,"-",WORLDCUP!AD120)</f>
        <v>Czech Republic-Morocco·2|1-2</v>
      </c>
      <c r="D200" s="691" t="s">
        <v>186</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Germany-France</v>
      </c>
      <c r="C201" s="351" t="str">
        <f ca="1">CONCATENATE(WORLDCUP!AA121,"-",WORLDCUP!AF121,"·",IF(WORLDCUP!AC121&gt;WORLDCUP!AD121,1,IF(WORLDCUP!AC121&lt;WORLDCUP!AD121,2,IF(AND(WORLDCUP!AC121=WORLDCUP!AD121,WORLDCUP!AC121&lt;&gt;"",WORLDCUP!AD121&lt;&gt;""),"X",0))),"|",WORLDCUP!AC121,"-",WORLDCUP!AD121)</f>
        <v>Germany-France·1|1-0</v>
      </c>
      <c r="D201" s="691"/>
      <c r="E201" s="686"/>
      <c r="F201" s="686"/>
      <c r="G201" s="686"/>
      <c r="H201" s="686"/>
      <c r="I201" s="352"/>
      <c r="J201" s="370"/>
      <c r="K201" s="370"/>
      <c r="L201" s="370"/>
      <c r="M201" s="386"/>
      <c r="N201" s="377"/>
    </row>
    <row r="202" spans="1:14" ht="15" customHeight="1">
      <c r="A202" s="690"/>
      <c r="B202" s="361" t="str">
        <f ca="1">CONCATENATE(WORLDCUP!AA122,"-",WORLDCUP!AF122)</f>
        <v>Brazil-Senegal</v>
      </c>
      <c r="C202" s="351" t="str">
        <f ca="1">CONCATENATE(WORLDCUP!AA122,"-",WORLDCUP!AF122,"·",IF(WORLDCUP!AC122&gt;WORLDCUP!AD122,1,IF(WORLDCUP!AC122&lt;WORLDCUP!AD122,2,IF(AND(WORLDCUP!AC122=WORLDCUP!AD122,WORLDCUP!AC122&lt;&gt;"",WORLDCUP!AD122&lt;&gt;""),"X",0))),"|",WORLDCUP!AC122,"-",WORLDCUP!AD122)</f>
        <v>Brazil-Senegal·1|1-0</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Mexico-England·2|0-1</v>
      </c>
      <c r="D203" s="691"/>
      <c r="E203" s="686"/>
      <c r="F203" s="686"/>
      <c r="G203" s="686"/>
      <c r="H203" s="686"/>
      <c r="I203" s="352"/>
      <c r="J203" s="370"/>
      <c r="K203" s="370"/>
      <c r="L203" s="370"/>
      <c r="M203" s="386"/>
      <c r="N203" s="377"/>
    </row>
    <row r="204" spans="1:14" ht="15" customHeight="1">
      <c r="A204" s="690"/>
      <c r="B204" s="361" t="str">
        <f ca="1">CONCATENATE(WORLDCUP!AA124,"-",WORLDCUP!AF124)</f>
        <v>Ghana-Spain</v>
      </c>
      <c r="C204" s="351" t="str">
        <f ca="1">CONCATENATE(WORLDCUP!AA124,"-",WORLDCUP!AF124,"·",IF(WORLDCUP!AC124&gt;WORLDCUP!AD124,1,IF(WORLDCUP!AC124&lt;WORLDCUP!AD124,2,IF(AND(WORLDCUP!AC124=WORLDCUP!AD124,WORLDCUP!AC124&lt;&gt;"",WORLDCUP!AD124&lt;&gt;""),"X",0))),"|",WORLDCUP!AC124,"-",WORLDCUP!AD124)</f>
        <v>Ghana-Spain·2|0-1</v>
      </c>
      <c r="D204" s="691"/>
      <c r="E204" s="352"/>
      <c r="F204" s="352"/>
      <c r="G204" s="352"/>
      <c r="H204" s="352"/>
      <c r="I204" s="352"/>
      <c r="J204" s="370"/>
      <c r="K204" s="370"/>
      <c r="L204" s="370"/>
      <c r="M204" s="386"/>
      <c r="N204" s="377"/>
    </row>
    <row r="205" spans="1:14" ht="15" customHeight="1">
      <c r="A205" s="690"/>
      <c r="B205" s="361" t="str">
        <f ca="1">CONCATENATE(WORLDCUP!AA125,"-",WORLDCUP!AF125)</f>
        <v>Turkey-Belgium</v>
      </c>
      <c r="C205" s="351" t="str">
        <f ca="1">CONCATENATE(WORLDCUP!AA125,"-",WORLDCUP!AF125,"·",IF(WORLDCUP!AC125&gt;WORLDCUP!AD125,1,IF(WORLDCUP!AC125&lt;WORLDCUP!AD125,2,IF(AND(WORLDCUP!AC125=WORLDCUP!AD125,WORLDCUP!AC125&lt;&gt;"",WORLDCUP!AD125&lt;&gt;""),"X",0))),"|",WORLDCUP!AC125,"-",WORLDCUP!AD125)</f>
        <v>Turkey-Belgium·1|1-0</v>
      </c>
      <c r="D205" s="691"/>
      <c r="E205" s="352"/>
      <c r="F205" s="352"/>
      <c r="G205" s="352"/>
      <c r="H205" s="352"/>
      <c r="I205" s="352"/>
      <c r="J205" s="370"/>
      <c r="K205" s="370"/>
      <c r="L205" s="370"/>
      <c r="M205" s="386"/>
      <c r="N205" s="377"/>
    </row>
    <row r="206" spans="1:14" ht="15" customHeight="1">
      <c r="A206" s="690"/>
      <c r="B206" s="361" t="str">
        <f ca="1">CONCATENATE(WORLDCUP!AA126,"-",WORLDCUP!AF126)</f>
        <v>Argentina-United States</v>
      </c>
      <c r="C206" s="351" t="str">
        <f ca="1">CONCATENATE(WORLDCUP!AA126,"-",WORLDCUP!AF126,"·",IF(WORLDCUP!AC126&gt;WORLDCUP!AD126,1,IF(WORLDCUP!AC126&lt;WORLDCUP!AD126,2,IF(AND(WORLDCUP!AC126=WORLDCUP!AD126,WORLDCUP!AC126&lt;&gt;"",WORLDCUP!AD126&lt;&gt;""),"X",0))),"|",WORLDCUP!AC126,"-",WORLDCUP!AD126)</f>
        <v>Argentina-United States·2|0-1</v>
      </c>
      <c r="D206" s="691"/>
      <c r="E206" s="352"/>
      <c r="F206" s="352"/>
      <c r="G206" s="352"/>
      <c r="H206" s="352"/>
      <c r="I206" s="352"/>
      <c r="J206" s="370"/>
      <c r="K206" s="370"/>
      <c r="L206" s="370"/>
      <c r="M206" s="386"/>
      <c r="N206" s="377"/>
    </row>
    <row r="207" spans="1:14" ht="15" customHeight="1">
      <c r="A207" s="690"/>
      <c r="B207" s="361" t="str">
        <f ca="1">CONCATENATE(WORLDCUP!AA127,"-",WORLDCUP!AF127)</f>
        <v>Canada-Portugal</v>
      </c>
      <c r="C207" s="351" t="str">
        <f ca="1">CONCATENATE(WORLDCUP!AA127,"-",WORLDCUP!AF127,"·",IF(WORLDCUP!AC127&gt;WORLDCUP!AD127,1,IF(WORLDCUP!AC127&lt;WORLDCUP!AD127,2,IF(AND(WORLDCUP!AC127=WORLDCUP!AD127,WORLDCUP!AC127&lt;&gt;"",WORLDCUP!AD127&lt;&gt;""),"X",0))),"|",WORLDCUP!AC127,"-",WORLDCUP!AD127)</f>
        <v>Canada-Portugal·2|0-1</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95"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211</v>
      </c>
      <c r="B210" s="360" t="str">
        <f>Idiomas!$D$190</f>
        <v>Quarterfinalist</v>
      </c>
      <c r="C210" s="349" t="str">
        <f ca="1">WORLDCUP!AA131</f>
        <v>Germany</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United States</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Morocco</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Turkey</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Portugal</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75">
      <c r="A219" s="353"/>
      <c r="B219" s="358" t="str">
        <f>Idiomas!D132</f>
        <v>QUARTERFINALS</v>
      </c>
      <c r="C219" s="350"/>
      <c r="D219" s="370"/>
      <c r="E219" s="370"/>
      <c r="F219" s="370"/>
      <c r="G219" s="370"/>
      <c r="H219" s="370"/>
      <c r="I219" s="388"/>
      <c r="J219" s="370"/>
      <c r="K219" s="370"/>
      <c r="L219" s="370"/>
      <c r="M219" s="386"/>
      <c r="N219" s="377"/>
    </row>
    <row r="220" spans="1:14" ht="15" customHeight="1">
      <c r="A220" s="690" t="s">
        <v>211</v>
      </c>
      <c r="B220" s="360" t="str">
        <f ca="1">CONCATENATE(WORLDCUP!AA131,"-",WORLDCUP!AF131)</f>
        <v>Germany-Morocco</v>
      </c>
      <c r="C220" s="349" t="str">
        <f ca="1">CONCATENATE(WORLDCUP!AA131,"-",WORLDCUP!AF131,"·",IF(WORLDCUP!AC131&gt;WORLDCUP!AD131,1,IF(WORLDCUP!AC131&lt;WORLDCUP!AD131,2,IF(AND(WORLDCUP!AC131=WORLDCUP!AD131,WORLDCUP!AC131&lt;&gt;"",WORLDCUP!AD131&lt;&gt;""),"X",0))),"|",WORLDCUP!AC131,"-",WORLDCUP!AD131)</f>
        <v>Germany-Morocco·1|1-0</v>
      </c>
      <c r="D220" s="692" t="s">
        <v>211</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Spain-Turkey</v>
      </c>
      <c r="C221" s="349" t="str">
        <f ca="1">CONCATENATE(WORLDCUP!AA132,"-",WORLDCUP!AF132,"·",IF(WORLDCUP!AC132&gt;WORLDCUP!AD132,1,IF(WORLDCUP!AC132&lt;WORLDCUP!AD132,2,IF(AND(WORLDCUP!AC132=WORLDCUP!AD132,WORLDCUP!AC132&lt;&gt;"",WORLDCUP!AD132&lt;&gt;""),"X",0))),"|",WORLDCUP!AC132,"-",WORLDCUP!AD132)</f>
        <v>Spain-Turkey·1|1-0</v>
      </c>
      <c r="D221" s="692"/>
      <c r="E221" s="686"/>
      <c r="F221" s="686"/>
      <c r="G221" s="686"/>
      <c r="H221" s="686"/>
      <c r="I221" s="352"/>
      <c r="J221" s="370"/>
      <c r="K221" s="370"/>
      <c r="L221" s="370"/>
      <c r="M221" s="386"/>
      <c r="N221" s="377"/>
    </row>
    <row r="222" spans="1:14" ht="15" customHeight="1">
      <c r="A222" s="690"/>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Brazil-England·2|1-2</v>
      </c>
      <c r="D222" s="692"/>
      <c r="E222" s="686"/>
      <c r="F222" s="686"/>
      <c r="G222" s="686"/>
      <c r="H222" s="686"/>
      <c r="I222" s="352"/>
      <c r="J222" s="370"/>
      <c r="K222" s="370"/>
      <c r="L222" s="370"/>
      <c r="M222" s="386"/>
      <c r="N222" s="377"/>
    </row>
    <row r="223" spans="1:14" ht="15" customHeight="1">
      <c r="A223" s="690"/>
      <c r="B223" s="360" t="str">
        <f ca="1">CONCATENATE(WORLDCUP!AA134,"-",WORLDCUP!AF134)</f>
        <v>United States-Portugal</v>
      </c>
      <c r="C223" s="349" t="str">
        <f ca="1">CONCATENATE(WORLDCUP!AA134,"-",WORLDCUP!AF134,"·",IF(WORLDCUP!AC134&gt;WORLDCUP!AD134,1,IF(WORLDCUP!AC134&lt;WORLDCUP!AD134,2,IF(AND(WORLDCUP!AC134=WORLDCUP!AD134,WORLDCUP!AC134&lt;&gt;"",WORLDCUP!AD134&lt;&gt;""),"X",0))),"|",WORLDCUP!AC134,"-",WORLDCUP!AD134)</f>
        <v>United States-Portugal·1|1-0</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75">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227</v>
      </c>
      <c r="B226" s="360" t="str">
        <f>Idiomas!$D$191</f>
        <v>Semifinalist</v>
      </c>
      <c r="C226" s="349" t="str">
        <f ca="1">WORLDCUP!AA138</f>
        <v>Germany</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England</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United States</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95"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227</v>
      </c>
      <c r="B232" s="360" t="str">
        <f ca="1">CONCATENATE(WORLDCUP!AA138,"-",WORLDCUP!AF138)</f>
        <v>Germany-Spain</v>
      </c>
      <c r="C232" s="351" t="str">
        <f ca="1">CONCATENATE(WORLDCUP!AA138,"-",WORLDCUP!AF138,"·",IF(WORLDCUP!AC138&gt;WORLDCUP!AD138,1,IF(WORLDCUP!AC138&lt;WORLDCUP!AD138,2,IF(AND(WORLDCUP!AC138=WORLDCUP!AD138,WORLDCUP!AC138&lt;&gt;"",WORLDCUP!AD138&lt;&gt;""),"X",0))),"|",WORLDCUP!AC138,"-",WORLDCUP!AD138)</f>
        <v>Germany-Spain·1|1-0</v>
      </c>
      <c r="D232" s="691" t="s">
        <v>227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England-United States</v>
      </c>
      <c r="C233" s="351" t="str">
        <f ca="1">CONCATENATE(WORLDCUP!AA139,"-",WORLDCUP!AF139,"·",IF(WORLDCUP!AC139&gt;WORLDCUP!AD139,1,IF(WORLDCUP!AC139&lt;WORLDCUP!AD139,2,IF(AND(WORLDCUP!AC139=WORLDCUP!AD139,WORLDCUP!AC139&lt;&gt;"",WORLDCUP!AD139&lt;&gt;""),"X",0))),"|",WORLDCUP!AC139,"-",WORLDCUP!AD139)</f>
        <v>England-United States·2|0-1</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75">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234</v>
      </c>
      <c r="B236" s="360" t="str">
        <f>Idiomas!D192</f>
        <v>3rd-4th place</v>
      </c>
      <c r="C236" s="349" t="str">
        <f ca="1">WORLDCUP!AA143</f>
        <v>Spain</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England</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95"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126</v>
      </c>
      <c r="B240" s="360" t="str">
        <f>Idiomas!D193</f>
        <v>Finalist</v>
      </c>
      <c r="C240" s="349" t="str">
        <f ca="1">WORLDCUP!AA147</f>
        <v>Germany</v>
      </c>
      <c r="D240" s="691"/>
      <c r="E240" s="370"/>
      <c r="F240" s="370"/>
      <c r="G240" s="370"/>
      <c r="H240" s="370"/>
      <c r="I240" s="352"/>
      <c r="J240" s="370"/>
      <c r="K240" s="370"/>
      <c r="L240" s="370"/>
      <c r="M240" s="386"/>
      <c r="N240" s="377"/>
    </row>
    <row r="241" spans="1:14" ht="15" customHeight="1">
      <c r="A241" s="688"/>
      <c r="B241" s="360" t="str">
        <f>B240</f>
        <v>Finalist</v>
      </c>
      <c r="C241" s="349" t="str">
        <f ca="1">WORLDCUP!AF147</f>
        <v>United States</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75">
      <c r="A243" s="353"/>
      <c r="B243" s="358" t="str">
        <f>Idiomas!D137</f>
        <v>3rd-4th place</v>
      </c>
      <c r="C243" s="350"/>
      <c r="D243" s="370"/>
      <c r="E243" s="370"/>
      <c r="F243" s="370"/>
      <c r="G243" s="370"/>
      <c r="H243" s="370"/>
      <c r="I243" s="388"/>
      <c r="J243" s="370"/>
      <c r="K243" s="370"/>
      <c r="L243" s="370"/>
      <c r="M243" s="386"/>
      <c r="N243" s="377"/>
    </row>
    <row r="244" spans="1:14" ht="15" customHeight="1">
      <c r="A244" s="362" t="s">
        <v>234</v>
      </c>
      <c r="B244" s="360" t="str">
        <f ca="1">CONCATENATE(WORLDCUP!AA143,"-",WORLDCUP!AF143)</f>
        <v>Spain-England</v>
      </c>
      <c r="C244" s="349" t="str">
        <f ca="1">CONCATENATE(WORLDCUP!AA143,"-",WORLDCUP!AF143,"·",IF(WORLDCUP!AC143&gt;WORLDCUP!AD143,1,IF(WORLDCUP!AC143&lt;WORLDCUP!AD143,2,IF(AND(WORLDCUP!AC143=WORLDCUP!AD143,WORLDCUP!AC143&lt;&gt;"",WORLDCUP!AD143&lt;&gt;""),"X",0))),"|",WORLDCUP!AC143,"-",WORLDCUP!AD143)</f>
        <v>Spain-England·2|0-1</v>
      </c>
      <c r="D244" s="689" t="s">
        <v>279</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126</v>
      </c>
      <c r="B247" s="360" t="str">
        <f ca="1">CONCATENATE(WORLDCUP!AA147,"-",WORLDCUP!AF147)</f>
        <v>Germany-United States</v>
      </c>
      <c r="C247" s="351" t="str">
        <f ca="1">CONCATENATE(WORLDCUP!AA147,"-",WORLDCUP!AF147,"·",IF(WORLDCUP!AC147&gt;WORLDCUP!AD147,1,IF(WORLDCUP!AC147&lt;WORLDCUP!AD147,2,IF(AND(WORLDCUP!AC147=WORLDCUP!AD147,WORLDCUP!AC147&lt;&gt;"",WORLDCUP!AD147&lt;&gt;""),"X",0))),"|",WORLDCUP!AC147,"-",WORLDCUP!AD147)</f>
        <v>Germany-United States·2|0-1</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95"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United States</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Germany</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England</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Harry Kane</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Erling Haaland</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Kylian Mbappe</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Lamine Yamal</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Michael Olise</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Harry Kane</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5"/>
  <cols>
    <col min="1" max="1" width="3.28515625" style="186" customWidth="1"/>
    <col min="2" max="2" width="2.7109375" style="9" customWidth="1"/>
    <col min="3" max="3" width="5.7109375" style="3" bestFit="1" customWidth="1"/>
    <col min="4" max="5" width="3.28515625" style="3" customWidth="1"/>
    <col min="6" max="6" width="6.140625" style="3" customWidth="1"/>
    <col min="7" max="7" width="2.42578125" style="3" bestFit="1" customWidth="1"/>
    <col min="8" max="9" width="3.85546875" style="3" customWidth="1"/>
    <col min="10" max="10" width="4.42578125" style="3" customWidth="1"/>
    <col min="11" max="11" width="5.28515625" style="3" customWidth="1"/>
    <col min="12" max="12" width="3.28515625" style="3" hidden="1" customWidth="1"/>
    <col min="13" max="13" width="1.7109375" style="186" customWidth="1"/>
    <col min="14" max="14" width="2.7109375" style="9" customWidth="1"/>
    <col min="15" max="15" width="4.28515625" style="3" bestFit="1" customWidth="1"/>
    <col min="16" max="17" width="3.28515625" style="3" customWidth="1"/>
    <col min="18" max="18" width="5.140625" style="3" bestFit="1" customWidth="1"/>
    <col min="19" max="19" width="2.42578125" style="3" bestFit="1" customWidth="1"/>
    <col min="20" max="20" width="4.28515625" style="3" bestFit="1" customWidth="1"/>
    <col min="21" max="22" width="3.7109375" style="3" customWidth="1"/>
    <col min="23" max="23" width="4.85546875" style="3" customWidth="1"/>
    <col min="24" max="24" width="4.28515625" style="186" hidden="1" customWidth="1"/>
    <col min="25" max="25" width="2.85546875" style="9" customWidth="1"/>
    <col min="26" max="26" width="7.42578125" style="9" bestFit="1" customWidth="1"/>
    <col min="27" max="27" width="9.85546875" style="3" customWidth="1"/>
    <col min="28" max="29" width="4.28515625" style="3" customWidth="1"/>
    <col min="30" max="30" width="2.85546875" style="9" customWidth="1"/>
    <col min="31" max="31" width="9.85546875" style="3" customWidth="1"/>
    <col min="32" max="33" width="4.28515625" style="3" customWidth="1"/>
    <col min="34" max="34" width="2.85546875" style="9" customWidth="1"/>
    <col min="35" max="35" width="9.85546875" style="3" customWidth="1"/>
    <col min="36" max="37" width="4.28515625" style="3" customWidth="1"/>
    <col min="38" max="38" width="2.85546875" style="9" customWidth="1"/>
    <col min="39" max="39" width="9.85546875" style="3" customWidth="1"/>
    <col min="40" max="41" width="4.28515625" style="3" customWidth="1"/>
    <col min="42" max="42" width="2.85546875" style="9" customWidth="1"/>
    <col min="43" max="43" width="9.85546875" style="3" customWidth="1"/>
    <col min="44" max="45" width="4.28515625" style="3" customWidth="1"/>
    <col min="46" max="46" width="2.85546875" style="9" customWidth="1"/>
    <col min="47" max="47" width="9.85546875" style="3" customWidth="1"/>
    <col min="48" max="49" width="4.28515625" style="3" customWidth="1"/>
    <col min="50" max="50" width="4" style="3" bestFit="1" customWidth="1"/>
    <col min="51" max="51" width="3.28515625" style="3" customWidth="1"/>
    <col min="52" max="54" width="7.85546875" style="3" customWidth="1"/>
    <col min="55" max="55" width="3.28515625" style="3" customWidth="1"/>
    <col min="56" max="58" width="2.42578125" style="3" bestFit="1" customWidth="1"/>
    <col min="59" max="59" width="20.85546875" style="3" customWidth="1"/>
    <col min="60" max="67" width="4.85546875" style="3" customWidth="1"/>
    <col min="68" max="69" width="10.85546875" style="3" customWidth="1"/>
    <col min="70" max="16384" width="10.85546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499999999999993"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75" thickBot="1">
      <c r="A3" s="181">
        <v>1</v>
      </c>
      <c r="B3" s="416" t="s">
        <v>30</v>
      </c>
      <c r="C3" s="417" t="str">
        <f ca="1">+MID(INDEX(WORLDCUP!$AA$4:$AA$147,MATCH(A3,WORLDCUP!$AH$4:$AH$147,0)),1,3)</f>
        <v>Mex</v>
      </c>
      <c r="D3" s="418">
        <f>IF(ISBLANK(INDEX(WORLDCUP!$AC$4:$AC$147,MATCH(A3,WORLDCUP!$AH$4:$AH$147,0))),"",INDEX(WORLDCUP!$AC$4:$AC$147,MATCH(A3,WORLDCUP!$AH$4:$AH$147,0)))</f>
        <v>1</v>
      </c>
      <c r="E3" s="418">
        <f>IF(ISBLANK(INDEX(WORLDCUP!$AD$4:$AD$147,MATCH(A3,WORLDCUP!$AH$4:$AH$147,0))),"",INDEX(WORLDCUP!$AD$4:$AD$147,MATCH(A3,WORLDCUP!$AH$4:$AH$147,0)))</f>
        <v>0</v>
      </c>
      <c r="F3" s="419" t="str">
        <f ca="1">+MID(INDEX(WORLDCUP!$AF$4:$AF$147,MATCH(A3,WORLDCUP!$AH$4:$AH$147,0)),1,3)</f>
        <v>Sou</v>
      </c>
      <c r="G3" s="420"/>
      <c r="H3" s="421" t="str">
        <f>MID(WORLDCUP!AL5,1,3)</f>
        <v>Nat</v>
      </c>
      <c r="I3" s="422" t="s">
        <v>280</v>
      </c>
      <c r="J3" s="422" t="str">
        <f>WORLDCUP!AT5</f>
        <v>GD</v>
      </c>
      <c r="K3" s="423" t="str">
        <f>WORLDCUP!AR5&amp;"-"&amp;WORLDCUP!AS5</f>
        <v>F-A</v>
      </c>
      <c r="L3" s="181"/>
      <c r="M3" s="181">
        <v>16</v>
      </c>
      <c r="N3" s="424" t="s">
        <v>135</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1</v>
      </c>
      <c r="R3" s="419" t="str">
        <f ca="1">+MID(INDEX(WORLDCUP!$AF$4:$AF$147,MATCH(M3,WORLDCUP!$AH$4:$AH$147,0)),1,3)</f>
        <v>Egy</v>
      </c>
      <c r="S3" s="420"/>
      <c r="T3" s="421" t="str">
        <f>+H43</f>
        <v>Nat</v>
      </c>
      <c r="U3" s="422" t="str">
        <f>+I43</f>
        <v>Pts</v>
      </c>
      <c r="V3" s="422" t="str">
        <f>+J43</f>
        <v>GD</v>
      </c>
      <c r="W3" s="423" t="str">
        <f>+K43</f>
        <v>F-A</v>
      </c>
      <c r="X3" s="181"/>
      <c r="Y3" s="181">
        <v>74</v>
      </c>
      <c r="Z3" s="425" t="s">
        <v>102</v>
      </c>
      <c r="AA3" s="426" t="str">
        <f ca="1">+MID(INDEX(WORLDCUP!$AA$101:$AA$147,MATCH(Y3,WORLDCUP!$Z$101:$Z$147,0)),1,3)</f>
        <v>Ger</v>
      </c>
      <c r="AB3" s="427">
        <f>+IF(ISBLANK(INDEX(WORLDCUP!$AC$101:$AC$147,MATCH(Y3,WORLDCUP!$Z$101:$Z$147,0))),"",INDEX(WORLDCUP!$AC$101:$AC$147,MATCH(Y3,WORLDCUP!$Z$101:$Z$147,0)))</f>
        <v>3</v>
      </c>
      <c r="AC3" s="428" t="str">
        <f>+IF(ISBLANK(INDEX(WORLDCUP!$AB$101:$AB$147,MATCH(Y3,WORLDCUP!$Z$101:$Z$147,0))),"","( "&amp;INDEX(WORLDCUP!$AB$101:$AB$147,MATCH(Y3,WORLDCUP!$Z$101:$Z$147,0))&amp;" )")</f>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135</v>
      </c>
      <c r="BI3" s="436" t="s">
        <v>153</v>
      </c>
      <c r="BJ3" s="437" t="s">
        <v>186</v>
      </c>
      <c r="BK3" s="438" t="s">
        <v>211</v>
      </c>
      <c r="BL3" s="439" t="s">
        <v>227</v>
      </c>
      <c r="BM3" s="440" t="s">
        <v>281</v>
      </c>
      <c r="BN3" s="441" t="s">
        <v>282</v>
      </c>
      <c r="BO3" s="442" t="s">
        <v>283</v>
      </c>
    </row>
    <row r="4" spans="1:67" ht="15.75" thickBot="1">
      <c r="A4" s="181">
        <v>2</v>
      </c>
      <c r="B4" s="443"/>
      <c r="C4" s="444" t="str">
        <f ca="1">+MID(INDEX(WORLDCUP!$AA$4:$AA$147,MATCH(A4,WORLDCUP!$AH$4:$AH$147,0)),1,3)</f>
        <v>Sou</v>
      </c>
      <c r="D4" s="445">
        <f>IF(ISBLANK(INDEX(WORLDCUP!$AC$4:$AC$147,MATCH(A4,WORLDCUP!$AH$4:$AH$147,0))),"",INDEX(WORLDCUP!$AC$4:$AC$147,MATCH(A4,WORLDCUP!$AH$4:$AH$147,0)))</f>
        <v>0</v>
      </c>
      <c r="E4" s="445">
        <f>IF(ISBLANK(INDEX(WORLDCUP!$AD$4:$AD$147,MATCH(A4,WORLDCUP!$AH$4:$AH$147,0))),"",INDEX(WORLDCUP!$AD$4:$AD$147,MATCH(A4,WORLDCUP!$AH$4:$AH$147,0)))</f>
        <v>1</v>
      </c>
      <c r="F4" s="446" t="str">
        <f ca="1">+MID(INDEX(WORLDCUP!$AF$4:$AF$147,MATCH(A4,WORLDCUP!$AH$4:$AH$147,0)),1,3)</f>
        <v>Cze</v>
      </c>
      <c r="G4" s="447">
        <v>1</v>
      </c>
      <c r="H4" s="448" t="str">
        <f ca="1">+MID(INDEX(WORLDCUP!$AL$6:$AL$97,MATCH(L4,WORLDCUP!$AI$6:$AI$97,0)),1,3)</f>
        <v>Mex</v>
      </c>
      <c r="I4" s="449">
        <f ca="1">+INDEX(WORLDCUP!$AM$6:$AM$97,MATCH(L4,WORLDCUP!$AI$6:$AI$97,0))</f>
        <v>7</v>
      </c>
      <c r="J4" s="450">
        <f ca="1">+INDEX(WORLDCUP!$AT$6:$AT$97,MATCH(L4,WORLDCUP!$AI$6:$AI$97,0))</f>
        <v>3</v>
      </c>
      <c r="K4" s="451" t="str">
        <f ca="1">+INDEX(WORLDCUP!$AR$6:$AR$97,MATCH(L4,WORLDCUP!$AI$6:$AI$97,0))&amp;"-"&amp;INDEX(WORLDCUP!$AS$6:$AS$97,MATCH(L4,WORLDCUP!$AI$6:$AI$97,0))</f>
        <v>4-1</v>
      </c>
      <c r="L4" s="181" t="s">
        <v>84</v>
      </c>
      <c r="M4" s="181">
        <v>15</v>
      </c>
      <c r="N4" s="452"/>
      <c r="O4" s="444" t="str">
        <f ca="1">+MID(INDEX(WORLDCUP!$AA$4:$AA$147,MATCH(M4,WORLDCUP!$AH$4:$AH$147,0)),1,3)</f>
        <v>Ira</v>
      </c>
      <c r="P4" s="445">
        <f>IF(ISBLANK(INDEX(WORLDCUP!$AC$4:$AC$147,MATCH(M4,WORLDCUP!$AH$4:$AH$147,0))),"",INDEX(WORLDCUP!$AC$4:$AC$147,MATCH(M4,WORLDCUP!$AH$4:$AH$147,0)))</f>
        <v>0</v>
      </c>
      <c r="Q4" s="445">
        <f>IF(ISBLANK(INDEX(WORLDCUP!$AD$4:$AD$147,MATCH(M4,WORLDCUP!$AH$4:$AH$147,0))),"",INDEX(WORLDCUP!$AD$4:$AD$147,MATCH(M4,WORLDCUP!$AH$4:$AH$147,0)))</f>
        <v>3</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5</v>
      </c>
      <c r="W4" s="451" t="str">
        <f ca="1">+INDEX(WORLDCUP!$AR$6:$AR$97,MATCH(X4,WORLDCUP!$AI$6:$AI$97,0))&amp;"-"&amp;INDEX(WORLDCUP!$AS$6:$AS$97,MATCH(X4,WORLDCUP!$AI$6:$AI$97,0))</f>
        <v>7-2</v>
      </c>
      <c r="X4" s="181" t="s">
        <v>111</v>
      </c>
      <c r="Y4" s="181">
        <v>74</v>
      </c>
      <c r="Z4" s="425" t="s">
        <v>154</v>
      </c>
      <c r="AA4" s="426" t="str">
        <f ca="1">+MID(INDEX(WORLDCUP!$AF$101:$AF$147,MATCH(Y4,WORLDCUP!$Z$101:$Z$147,0)),1,IF(WORLDCUP!$H$113&lt;144,6,3))</f>
        <v>Sou</v>
      </c>
      <c r="AB4" s="453">
        <f>+IF(ISBLANK(INDEX(WORLDCUP!$AD$101:$AD$147,MATCH(Y4,WORLDCUP!$Z$101:$Z$147,0))),"",INDEX(WORLDCUP!$AD$101:$AD$147,MATCH(Y4,WORLDCUP!$Z$101:$Z$147,0)))</f>
        <v>1</v>
      </c>
      <c r="AC4" s="454" t="str">
        <f>+IF(ISBLANK(INDEX(WORLDCUP!$AE$101:$AE$147,MATCH(Y4,WORLDCUP!$Z$101:$Z$147,0))),"","( "&amp;INDEX(WORLDCUP!$AE$101:$AE$147,MATCH(Y4,WORLDCUP!$Z$101:$Z$147,0))&amp;" )")</f>
        <v/>
      </c>
      <c r="AD4" s="455">
        <v>89</v>
      </c>
      <c r="AE4" s="456" t="str">
        <f ca="1">+MID(INDEX(WORLDCUP!$AA$101:$AA$147,MATCH(AD4,WORLDCUP!$Z$101:$Z$147,0)),1,3)</f>
        <v>Ger</v>
      </c>
      <c r="AF4" s="457">
        <f>+IF(ISBLANK(INDEX(WORLDCUP!$AC$101:$AC$147,MATCH(AD4,WORLDCUP!$Z$101:$Z$147,0))),"",INDEX(WORLDCUP!$AC$101:$AC$147,MATCH(AD4,WORLDCUP!$Z$101:$Z$147,0)))</f>
        <v>1</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1</v>
      </c>
      <c r="E5" s="445">
        <f>IF(ISBLANK(INDEX(WORLDCUP!$AD$4:$AD$147,MATCH(A5,WORLDCUP!$AH$4:$AH$147,0))),"",INDEX(WORLDCUP!$AD$4:$AD$147,MATCH(A5,WORLDCUP!$AH$4:$AH$147,0)))</f>
        <v>0</v>
      </c>
      <c r="F5" s="446" t="str">
        <f ca="1">+MID(INDEX(WORLDCUP!$AF$4:$AF$147,MATCH(A5,WORLDCUP!$AH$4:$AH$147,0)),1,3)</f>
        <v>Sou</v>
      </c>
      <c r="G5" s="467">
        <v>2</v>
      </c>
      <c r="H5" s="468" t="str">
        <f ca="1">+MID(INDEX(WORLDCUP!$AL$6:$AL$97,MATCH(L5,WORLDCUP!$AI$6:$AI$97,0)),1,3)</f>
        <v>Cze</v>
      </c>
      <c r="I5" s="38">
        <f ca="1">+INDEX(WORLDCUP!$AM$6:$AM$97,MATCH(L5,WORLDCUP!$AI$6:$AI$97,0))</f>
        <v>7</v>
      </c>
      <c r="J5" s="39">
        <f ca="1">+INDEX(WORLDCUP!$AT$6:$AT$97,MATCH(L5,WORLDCUP!$AI$6:$AI$97,0))</f>
        <v>2</v>
      </c>
      <c r="K5" s="43" t="str">
        <f ca="1">+INDEX(WORLDCUP!$AR$6:$AR$97,MATCH(L5,WORLDCUP!$AI$6:$AI$97,0))&amp;"-"&amp;INDEX(WORLDCUP!$AS$6:$AS$97,MATCH(L5,WORLDCUP!$AI$6:$AI$97,0))</f>
        <v>3-1</v>
      </c>
      <c r="L5" s="181" t="s">
        <v>85</v>
      </c>
      <c r="M5" s="181">
        <v>39</v>
      </c>
      <c r="N5" s="452"/>
      <c r="O5" s="444" t="str">
        <f ca="1">+MID(INDEX(WORLDCUP!$AA$4:$AA$147,MATCH(M5,WORLDCUP!$AH$4:$AH$147,0)),1,3)</f>
        <v>Bel</v>
      </c>
      <c r="P5" s="445">
        <f>IF(ISBLANK(INDEX(WORLDCUP!$AC$4:$AC$147,MATCH(M5,WORLDCUP!$AH$4:$AH$147,0))),"",INDEX(WORLDCUP!$AC$4:$AC$147,MATCH(M5,WORLDCUP!$AH$4:$AH$147,0)))</f>
        <v>3</v>
      </c>
      <c r="Q5" s="445">
        <f>IF(ISBLANK(INDEX(WORLDCUP!$AD$4:$AD$147,MATCH(M5,WORLDCUP!$AH$4:$AH$147,0))),"",INDEX(WORLDCUP!$AD$4:$AD$147,MATCH(M5,WORLDCUP!$AH$4:$AH$147,0)))</f>
        <v>0</v>
      </c>
      <c r="R5" s="446" t="str">
        <f ca="1">+MID(INDEX(WORLDCUP!$AF$4:$AF$147,MATCH(M5,WORLDCUP!$AH$4:$AH$147,0)),1,3)</f>
        <v>Ira</v>
      </c>
      <c r="S5" s="467">
        <v>2</v>
      </c>
      <c r="T5" s="468" t="str">
        <f ca="1">+MID(INDEX(WORLDCUP!$AL$6:$AL$97,MATCH(X5,WORLDCUP!$AI$6:$AI$97,0)),1,3)</f>
        <v>New</v>
      </c>
      <c r="U5" s="38">
        <f ca="1">+INDEX(WORLDCUP!$AM$6:$AM$97,MATCH(X5,WORLDCUP!$AI$6:$AI$97,0))</f>
        <v>6</v>
      </c>
      <c r="V5" s="39">
        <f ca="1">+INDEX(WORLDCUP!$AT$6:$AT$97,MATCH(X5,WORLDCUP!$AI$6:$AI$97,0))</f>
        <v>3</v>
      </c>
      <c r="W5" s="43" t="str">
        <f ca="1">+INDEX(WORLDCUP!$AR$6:$AR$97,MATCH(X5,WORLDCUP!$AI$6:$AI$97,0))&amp;"-"&amp;INDEX(WORLDCUP!$AS$6:$AS$97,MATCH(X5,WORLDCUP!$AI$6:$AI$97,0))</f>
        <v>6-3</v>
      </c>
      <c r="X5" s="181" t="s">
        <v>112</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0</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1</v>
      </c>
      <c r="BK5" s="465">
        <f ca="1">COUNTIF(Pool!$C$210:$C$217,Fixture!BG5)-BL5-BM5-BN5-BO5</f>
        <v>0</v>
      </c>
      <c r="BL5" s="465">
        <f ca="1">COUNTIF(Pool!$C$226:$C$229,Fixture!BG5)-BM5-BN5-BO5</f>
        <v>0</v>
      </c>
      <c r="BM5" s="463">
        <f ca="1">COUNTIF(Pool!$C$252,Fixture!BG5)</f>
        <v>0</v>
      </c>
      <c r="BN5" s="463">
        <f ca="1">COUNTIF(Pool!$C$251,Fixture!BG5)</f>
        <v>0</v>
      </c>
      <c r="BO5" s="466">
        <f ca="1">COUNTIF(Pool!$C$250,Fixture!BG5)</f>
        <v>0</v>
      </c>
    </row>
    <row r="6" spans="1:67" ht="15.7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-2</v>
      </c>
      <c r="K6" s="43" t="str">
        <f ca="1">+INDEX(WORLDCUP!$AR$6:$AR$97,MATCH(L6,WORLDCUP!$AI$6:$AI$97,0))&amp;"-"&amp;INDEX(WORLDCUP!$AS$6:$AS$97,MATCH(L6,WORLDCUP!$AI$6:$AI$97,0))</f>
        <v>1-3</v>
      </c>
      <c r="L6" s="181" t="s">
        <v>86</v>
      </c>
      <c r="M6" s="181">
        <v>40</v>
      </c>
      <c r="N6" s="452"/>
      <c r="O6" s="444" t="str">
        <f ca="1">+MID(INDEX(WORLDCUP!$AA$4:$AA$147,MATCH(M6,WORLDCUP!$AH$4:$AH$147,0)),1,3)</f>
        <v>New</v>
      </c>
      <c r="P6" s="445">
        <f>IF(ISBLANK(INDEX(WORLDCUP!$AC$4:$AC$147,MATCH(M6,WORLDCUP!$AH$4:$AH$147,0))),"",INDEX(WORLDCUP!$AC$4:$AC$147,MATCH(M6,WORLDCUP!$AH$4:$AH$147,0)))</f>
        <v>2</v>
      </c>
      <c r="Q6" s="445">
        <f>IF(ISBLANK(INDEX(WORLDCUP!$AD$4:$AD$147,MATCH(M6,WORLDCUP!$AH$4:$AH$147,0))),"",INDEX(WORLDCUP!$AD$4:$AD$147,MATCH(M6,WORLDCUP!$AH$4:$AH$147,0)))</f>
        <v>1</v>
      </c>
      <c r="R6" s="446" t="str">
        <f ca="1">+MID(INDEX(WORLDCUP!$AF$4:$AF$147,MATCH(M6,WORLDCUP!$AH$4:$AH$147,0)),1,3)</f>
        <v>Egy</v>
      </c>
      <c r="S6" s="467">
        <v>3</v>
      </c>
      <c r="T6" s="468" t="str">
        <f ca="1">+MID(INDEX(WORLDCUP!$AL$6:$AL$97,MATCH(X6,WORLDCUP!$AI$6:$AI$97,0)),1,3)</f>
        <v>Egy</v>
      </c>
      <c r="U6" s="38">
        <f ca="1">+INDEX(WORLDCUP!$AM$6:$AM$97,MATCH(X6,WORLDCUP!$AI$6:$AI$97,0))</f>
        <v>3</v>
      </c>
      <c r="V6" s="39">
        <f ca="1">+INDEX(WORLDCUP!$AT$6:$AT$97,MATCH(X6,WORLDCUP!$AI$6:$AI$97,0))</f>
        <v>1</v>
      </c>
      <c r="W6" s="43" t="str">
        <f ca="1">+INDEX(WORLDCUP!$AR$6:$AR$97,MATCH(X6,WORLDCUP!$AI$6:$AI$97,0))&amp;"-"&amp;INDEX(WORLDCUP!$AS$6:$AS$97,MATCH(X6,WORLDCUP!$AI$6:$AI$97,0))</f>
        <v>5-4</v>
      </c>
      <c r="X6" s="181" t="s">
        <v>113</v>
      </c>
      <c r="Y6" s="181">
        <v>77</v>
      </c>
      <c r="Z6" s="425" t="s">
        <v>120</v>
      </c>
      <c r="AA6" s="426" t="str">
        <f ca="1">+MID(INDEX(WORLDCUP!$AA$101:$AA$147,MATCH(Y6,WORLDCUP!$Z$101:$Z$147,0)),1,3)</f>
        <v>Fra</v>
      </c>
      <c r="AB6" s="472">
        <f>+IF(ISBLANK(INDEX(WORLDCUP!$AC$101:$AC$147,MATCH(Y6,WORLDCUP!$Z$101:$Z$147,0))),"",INDEX(WORLDCUP!$AC$101:$AC$147,MATCH(Y6,WORLDCUP!$Z$101:$Z$147,0)))</f>
        <v>3</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75" thickBot="1">
      <c r="A7" s="181">
        <v>53</v>
      </c>
      <c r="B7" s="443"/>
      <c r="C7" s="444" t="str">
        <f ca="1">+MID(INDEX(WORLDCUP!$AA$4:$AA$147,MATCH(A7,WORLDCUP!$AH$4:$AH$147,0)),1,3)</f>
        <v>Cze</v>
      </c>
      <c r="D7" s="445">
        <f>IF(ISBLANK(INDEX(WORLDCUP!$AC$4:$AC$147,MATCH(A7,WORLDCUP!$AH$4:$AH$147,0))),"",INDEX(WORLDCUP!$AC$4:$AC$147,MATCH(A7,WORLDCUP!$AH$4:$AH$147,0)))</f>
        <v>1</v>
      </c>
      <c r="E7" s="445">
        <f>IF(ISBLANK(INDEX(WORLDCUP!$AD$4:$AD$147,MATCH(A7,WORLDCUP!$AH$4:$AH$147,0))),"",INDEX(WORLDCUP!$AD$4:$AD$147,MATCH(A7,WORLDCUP!$AH$4:$AH$147,0)))</f>
        <v>1</v>
      </c>
      <c r="F7" s="446" t="str">
        <f ca="1">+MID(INDEX(WORLDCUP!$AF$4:$AF$147,MATCH(A7,WORLDCUP!$AH$4:$AH$147,0)),1,3)</f>
        <v>Mex</v>
      </c>
      <c r="G7" s="467">
        <v>4</v>
      </c>
      <c r="H7" s="476" t="str">
        <f ca="1">+MID(INDEX(WORLDCUP!$AL$6:$AL$97,MATCH(L7,WORLDCUP!$AI$6:$AI$97,0)),1,3)</f>
        <v>Sou</v>
      </c>
      <c r="I7" s="477">
        <f ca="1">+INDEX(WORLDCUP!$AM$6:$AM$97,MATCH(L7,WORLDCUP!$AI$6:$AI$97,0))</f>
        <v>0</v>
      </c>
      <c r="J7" s="478">
        <f ca="1">+INDEX(WORLDCUP!$AT$6:$AT$97,MATCH(L7,WORLDCUP!$AI$6:$AI$97,0))</f>
        <v>-3</v>
      </c>
      <c r="K7" s="479" t="str">
        <f ca="1">+INDEX(WORLDCUP!$AR$6:$AR$97,MATCH(L7,WORLDCUP!$AI$6:$AI$97,0))&amp;"-"&amp;INDEX(WORLDCUP!$AS$6:$AS$97,MATCH(L7,WORLDCUP!$AI$6:$AI$97,0))</f>
        <v>0-3</v>
      </c>
      <c r="L7" s="181" t="s">
        <v>87</v>
      </c>
      <c r="M7" s="181">
        <v>63</v>
      </c>
      <c r="N7" s="452"/>
      <c r="O7" s="444" t="str">
        <f ca="1">+MID(INDEX(WORLDCUP!$AA$4:$AA$147,MATCH(M7,WORLDCUP!$AH$4:$AH$147,0)),1,3)</f>
        <v>Egy</v>
      </c>
      <c r="P7" s="445">
        <f>IF(ISBLANK(INDEX(WORLDCUP!$AC$4:$AC$147,MATCH(M7,WORLDCUP!$AH$4:$AH$147,0))),"",INDEX(WORLDCUP!$AC$4:$AC$147,MATCH(M7,WORLDCUP!$AH$4:$AH$147,0)))</f>
        <v>3</v>
      </c>
      <c r="Q7" s="445">
        <f>IF(ISBLANK(INDEX(WORLDCUP!$AD$4:$AD$147,MATCH(M7,WORLDCUP!$AH$4:$AH$147,0))),"",INDEX(WORLDCUP!$AD$4:$AD$147,MATCH(M7,WORLDCUP!$AH$4:$AH$147,0)))</f>
        <v>0</v>
      </c>
      <c r="R7" s="446" t="str">
        <f ca="1">+MID(INDEX(WORLDCUP!$AF$4:$AF$147,MATCH(M7,WORLDCUP!$AH$4:$AH$147,0)),1,3)</f>
        <v>Ira</v>
      </c>
      <c r="S7" s="467">
        <v>4</v>
      </c>
      <c r="T7" s="476" t="str">
        <f ca="1">+MID(INDEX(WORLDCUP!$AL$6:$AL$97,MATCH(X7,WORLDCUP!$AI$6:$AI$97,0)),1,3)</f>
        <v>Ira</v>
      </c>
      <c r="U7" s="477">
        <f ca="1">+INDEX(WORLDCUP!$AM$6:$AM$97,MATCH(X7,WORLDCUP!$AI$6:$AI$97,0))</f>
        <v>0</v>
      </c>
      <c r="V7" s="478">
        <f ca="1">+INDEX(WORLDCUP!$AT$6:$AT$97,MATCH(X7,WORLDCUP!$AI$6:$AI$97,0))</f>
        <v>-9</v>
      </c>
      <c r="W7" s="479" t="str">
        <f ca="1">+INDEX(WORLDCUP!$AR$6:$AR$97,MATCH(X7,WORLDCUP!$AI$6:$AI$97,0))&amp;"-"&amp;INDEX(WORLDCUP!$AS$6:$AS$97,MATCH(X7,WORLDCUP!$AI$6:$AI$97,0))</f>
        <v>0-9</v>
      </c>
      <c r="X7" s="181" t="s">
        <v>114</v>
      </c>
      <c r="Y7" s="181">
        <v>77</v>
      </c>
      <c r="Z7" s="425" t="s">
        <v>163</v>
      </c>
      <c r="AA7" s="480" t="str">
        <f ca="1">+MID(INDEX(WORLDCUP!$AF$101:$AF$147,MATCH(Y7,WORLDCUP!$Z$101:$Z$147,0)),1,IF(WORLDCUP!$H$113&lt;144,6,3))</f>
        <v>Sco</v>
      </c>
      <c r="AB7" s="481">
        <f>+IF(ISBLANK(INDEX(WORLDCUP!$AD$101:$AD$147,MATCH(Y7,WORLDCUP!$Z$101:$Z$147,0))),"",INDEX(WORLDCUP!$AD$101:$AD$147,MATCH(Y7,WORLDCUP!$Z$101:$Z$147,0)))</f>
        <v>1</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Ger</v>
      </c>
      <c r="AJ7" s="484">
        <f>+IF(ISBLANK(INDEX(WORLDCUP!$AC$101:$AC$147,MATCH(AH7,WORLDCUP!$Z$101:$Z$147,0))),"",INDEX(WORLDCUP!$AC$101:$AC$147,MATCH(AH7,WORLDCUP!$Z$101:$Z$147,0)))</f>
        <v>1</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7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Mor</v>
      </c>
      <c r="AJ8" s="484">
        <f>+IF(ISBLANK(INDEX(WORLDCUP!$AD$101:$AD$147,MATCH(AH8,WORLDCUP!$Z$101:$Z$147,0))),"",INDEX(WORLDCUP!$AD$101:$AD$147,MATCH(AH8,WORLDCUP!$Z$101:$Z$147,0)))</f>
        <v>0</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1</v>
      </c>
      <c r="BK8" s="465">
        <f ca="1">COUNTIF(Pool!$C$210:$C$217,Fixture!BG8)-BL8-BM8-BN8-BO8</f>
        <v>0</v>
      </c>
      <c r="BL8" s="465">
        <f ca="1">COUNTIF(Pool!$C$226:$C$229,Fixture!BG8)-BM8-BN8-BO8</f>
        <v>0</v>
      </c>
      <c r="BM8" s="463">
        <f ca="1">COUNTIF(Pool!$C$252,Fixture!BG8)</f>
        <v>0</v>
      </c>
      <c r="BN8" s="463">
        <f ca="1">COUNTIF(Pool!$C$251,Fixture!BG8)</f>
        <v>0</v>
      </c>
      <c r="BO8" s="466">
        <f ca="1">COUNTIF(Pool!$C$250,Fixture!BG8)</f>
        <v>0</v>
      </c>
    </row>
    <row r="9" spans="1:67" ht="15.7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85</v>
      </c>
      <c r="AA9" s="426" t="str">
        <f ca="1">+MID(INDEX(WORLDCUP!$AA$101:$AA$147,MATCH(Y9,WORLDCUP!$Z$101:$Z$147,0)),1,3)</f>
        <v>Cze</v>
      </c>
      <c r="AB9" s="427">
        <f>+IF(ISBLANK(INDEX(WORLDCUP!$AC$101:$AC$147,MATCH(Y9,WORLDCUP!$Z$101:$Z$147,0))),"",INDEX(WORLDCUP!$AC$101:$AC$147,MATCH(Y9,WORLDCUP!$Z$101:$Z$147,0)))</f>
        <v>3</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0</v>
      </c>
      <c r="BI9" s="463">
        <f ca="1">COUNTIF(Pool!$C$130:$C$161,Fixture!BG9)-BJ9-BK9-BL9-BM9-BN9-BO9</f>
        <v>1</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7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89</v>
      </c>
      <c r="AA10" s="426" t="str">
        <f ca="1">+MID(INDEX(WORLDCUP!$AF$101:$AF$147,MATCH(Y10,WORLDCUP!$Z$101:$Z$147,0)),1,3)</f>
        <v>Bos</v>
      </c>
      <c r="AB10" s="453">
        <f>+IF(ISBLANK(INDEX(WORLDCUP!$AD$101:$AD$147,MATCH(Y10,WORLDCUP!$Z$101:$Z$147,0))),"",INDEX(WORLDCUP!$AD$101:$AD$147,MATCH(Y10,WORLDCUP!$Z$101:$Z$147,0)))</f>
        <v>1</v>
      </c>
      <c r="AC10" s="454" t="str">
        <f>+IF(ISBLANK(INDEX(WORLDCUP!$AE$101:$AE$147,MATCH(Y10,WORLDCUP!$Z$101:$Z$147,0))),"","( "&amp;INDEX(WORLDCUP!$AE$101:$AE$147,MATCH(Y10,WORLDCUP!$Z$101:$Z$147,0))&amp;" )")</f>
        <v/>
      </c>
      <c r="AD10" s="500">
        <v>90</v>
      </c>
      <c r="AE10" s="456" t="str">
        <f ca="1">+MID(INDEX(WORLDCUP!$AA$101:$AA$147,MATCH(AD10,WORLDCUP!$Z$101:$Z$147,0)),1,3)</f>
        <v>Cze</v>
      </c>
      <c r="AF10" s="457">
        <f>+IF(ISBLANK(INDEX(WORLDCUP!$AC$101:$AC$147,MATCH(AD10,WORLDCUP!$Z$101:$Z$147,0))),"",INDEX(WORLDCUP!$AC$101:$AC$147,MATCH(AD10,WORLDCUP!$Z$101:$Z$147,0)))</f>
        <v>1</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90</v>
      </c>
      <c r="C11" s="417" t="str">
        <f ca="1">+MID(INDEX(WORLDCUP!$AA$4:$AA$147,MATCH(A11,WORLDCUP!$AH$4:$AH$147,0)),1,3)</f>
        <v>Can</v>
      </c>
      <c r="D11" s="418">
        <f>IF(ISBLANK(INDEX(WORLDCUP!$AC$4:$AC$147,MATCH(A11,WORLDCUP!$AH$4:$AH$147,0))),"",INDEX(WORLDCUP!$AC$4:$AC$147,MATCH(A11,WORLDCUP!$AH$4:$AH$147,0)))</f>
        <v>2</v>
      </c>
      <c r="E11" s="418">
        <f>IF(ISBLANK(INDEX(WORLDCUP!$AD$4:$AD$147,MATCH(A11,WORLDCUP!$AH$4:$AH$147,0))),"",INDEX(WORLDCUP!$AD$4:$AD$147,MATCH(A11,WORLDCUP!$AH$4:$AH$147,0)))</f>
        <v>1</v>
      </c>
      <c r="F11" s="419" t="str">
        <f ca="1">+MID(INDEX(WORLDCUP!$AF$4:$AF$147,MATCH(A11,WORLDCUP!$AH$4:$AH$147,0)),1,3)</f>
        <v>Bos</v>
      </c>
      <c r="G11" s="420"/>
      <c r="H11" s="421" t="str">
        <f>+H3</f>
        <v>Nat</v>
      </c>
      <c r="I11" s="422" t="str">
        <f>+I3</f>
        <v>Pts</v>
      </c>
      <c r="J11" s="422" t="str">
        <f>+J3</f>
        <v>GD</v>
      </c>
      <c r="K11" s="423" t="str">
        <f>+K3</f>
        <v>F-A</v>
      </c>
      <c r="L11" s="181"/>
      <c r="M11" s="181">
        <v>14</v>
      </c>
      <c r="N11" s="503" t="s">
        <v>140</v>
      </c>
      <c r="O11" s="417" t="str">
        <f ca="1">+MID(INDEX(WORLDCUP!$AA$4:$AA$147,MATCH(M11,WORLDCUP!$AH$4:$AH$147,0)),1,3)</f>
        <v>Spa</v>
      </c>
      <c r="P11" s="418">
        <f>IF(ISBLANK(INDEX(WORLDCUP!$AC$4:$AC$147,MATCH(M11,WORLDCUP!$AH$4:$AH$147,0))),"",INDEX(WORLDCUP!$AC$4:$AC$147,MATCH(M11,WORLDCUP!$AH$4:$AH$147,0)))</f>
        <v>3</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Mor</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0</v>
      </c>
      <c r="BJ11" s="464">
        <f ca="1">COUNTIF(Pool!$C$182:$C$197,Fixture!BG11)-BK11-BL11-BM11-BN11-BO11</f>
        <v>1</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75" thickBot="1">
      <c r="A12" s="181">
        <v>8</v>
      </c>
      <c r="B12" s="504"/>
      <c r="C12" s="444" t="str">
        <f ca="1">+MID(INDEX(WORLDCUP!$AA$4:$AA$147,MATCH(A12,WORLDCUP!$AH$4:$AH$147,0)),1,3)</f>
        <v>Qat</v>
      </c>
      <c r="D12" s="445">
        <f>IF(ISBLANK(INDEX(WORLDCUP!$AC$4:$AC$147,MATCH(A12,WORLDCUP!$AH$4:$AH$147,0))),"",INDEX(WORLDCUP!$AC$4:$AC$147,MATCH(A12,WORLDCUP!$AH$4:$AH$147,0)))</f>
        <v>1</v>
      </c>
      <c r="E12" s="445">
        <f>IF(ISBLANK(INDEX(WORLDCUP!$AD$4:$AD$147,MATCH(A12,WORLDCUP!$AH$4:$AH$147,0))),"",INDEX(WORLDCUP!$AD$4:$AD$147,MATCH(A12,WORLDCUP!$AH$4:$AH$147,0)))</f>
        <v>1</v>
      </c>
      <c r="F12" s="446" t="str">
        <f ca="1">+MID(INDEX(WORLDCUP!$AF$4:$AF$147,MATCH(A12,WORLDCUP!$AH$4:$AH$147,0)),1,3)</f>
        <v>Swi</v>
      </c>
      <c r="G12" s="447">
        <v>1</v>
      </c>
      <c r="H12" s="448" t="str">
        <f ca="1">+MID(INDEX(WORLDCUP!$AL$6:$AL$97,MATCH(L12,WORLDCUP!$AI$6:$AI$97,0)),1,3)</f>
        <v>Can</v>
      </c>
      <c r="I12" s="449">
        <f ca="1">+INDEX(WORLDCUP!$AM$6:$AM$97,MATCH(L12,WORLDCUP!$AI$6:$AI$97,0))</f>
        <v>7</v>
      </c>
      <c r="J12" s="450">
        <f ca="1">+INDEX(WORLDCUP!$AT$6:$AT$97,MATCH(L12,WORLDCUP!$AI$6:$AI$97,0))</f>
        <v>3</v>
      </c>
      <c r="K12" s="451" t="str">
        <f ca="1">+INDEX(WORLDCUP!$AR$6:$AR$97,MATCH(L12,WORLDCUP!$AI$6:$AI$97,0))&amp;"-"&amp;INDEX(WORLDCUP!$AS$6:$AS$97,MATCH(L12,WORLDCUP!$AI$6:$AI$97,0))</f>
        <v>5-2</v>
      </c>
      <c r="L12" s="181" t="s">
        <v>88</v>
      </c>
      <c r="M12" s="181">
        <v>13</v>
      </c>
      <c r="N12" s="505"/>
      <c r="O12" s="444" t="str">
        <f ca="1">+MID(INDEX(WORLDCUP!$AA$4:$AA$147,MATCH(M12,WORLDCUP!$AH$4:$AH$147,0)),1,3)</f>
        <v>Sau</v>
      </c>
      <c r="P12" s="445">
        <f>IF(ISBLANK(INDEX(WORLDCUP!$AC$4:$AC$147,MATCH(M12,WORLDCUP!$AH$4:$AH$147,0))),"",INDEX(WORLDCUP!$AC$4:$AC$147,MATCH(M12,WORLDCUP!$AH$4:$AH$147,0)))</f>
        <v>0</v>
      </c>
      <c r="Q12" s="445">
        <f>IF(ISBLANK(INDEX(WORLDCUP!$AD$4:$AD$147,MATCH(M12,WORLDCUP!$AH$4:$AH$147,0))),"",INDEX(WORLDCUP!$AD$4:$AD$147,MATCH(M12,WORLDCUP!$AH$4:$AH$147,0)))</f>
        <v>2</v>
      </c>
      <c r="R12" s="446" t="str">
        <f ca="1">+MID(INDEX(WORLDCUP!$AF$4:$AF$147,MATCH(M12,WORLDCUP!$AH$4:$AH$147,0)),1,3)</f>
        <v>Uru</v>
      </c>
      <c r="S12" s="447">
        <v>1</v>
      </c>
      <c r="T12" s="448" t="str">
        <f ca="1">+MID(INDEX(WORLDCUP!$AL$6:$AL$97,MATCH(X12,WORLDCUP!$AI$6:$AI$97,0)),1,3)</f>
        <v>Spa</v>
      </c>
      <c r="U12" s="449">
        <f ca="1">+INDEX(WORLDCUP!$AM$6:$AM$97,MATCH(X12,WORLDCUP!$AI$6:$AI$97,0))</f>
        <v>7</v>
      </c>
      <c r="V12" s="450">
        <f ca="1">+INDEX(WORLDCUP!$AT$6:$AT$97,MATCH(X12,WORLDCUP!$AI$6:$AI$97,0))</f>
        <v>6</v>
      </c>
      <c r="W12" s="451" t="str">
        <f ca="1">+INDEX(WORLDCUP!$AR$6:$AR$97,MATCH(X12,WORLDCUP!$AI$6:$AI$97,0))&amp;"-"&amp;INDEX(WORLDCUP!$AS$6:$AS$97,MATCH(X12,WORLDCUP!$AI$6:$AI$97,0))</f>
        <v>8-2</v>
      </c>
      <c r="X12" s="181" t="s">
        <v>115</v>
      </c>
      <c r="Y12" s="181">
        <v>75</v>
      </c>
      <c r="Z12" s="425" t="s">
        <v>106</v>
      </c>
      <c r="AA12" s="426" t="str">
        <f ca="1">+MID(INDEX(WORLDCUP!$AA$101:$AA$147,MATCH(Y12,WORLDCUP!$Z$101:$Z$147,0)),1,3)</f>
        <v>Swe</v>
      </c>
      <c r="AB12" s="472">
        <f>+IF(ISBLANK(INDEX(WORLDCUP!$AC$101:$AC$147,MATCH(Y12,WORLDCUP!$Z$101:$Z$147,0))),"",INDEX(WORLDCUP!$AC$101:$AC$147,MATCH(Y12,WORLDCUP!$Z$101:$Z$147,0)))</f>
        <v>1</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1</v>
      </c>
      <c r="BI12" s="463">
        <f ca="1">COUNTIF(Pool!$C$130:$C$161,Fixture!BG12)-BJ12-BK12-BL12-BM12-BN12-BO12</f>
        <v>0</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75" thickBot="1">
      <c r="A13" s="181">
        <v>26</v>
      </c>
      <c r="B13" s="504"/>
      <c r="C13" s="444" t="str">
        <f ca="1">+MID(INDEX(WORLDCUP!$AA$4:$AA$147,MATCH(A13,WORLDCUP!$AH$4:$AH$147,0)),1,3)</f>
        <v>Swi</v>
      </c>
      <c r="D13" s="445">
        <f>IF(ISBLANK(INDEX(WORLDCUP!$AC$4:$AC$147,MATCH(A13,WORLDCUP!$AH$4:$AH$147,0))),"",INDEX(WORLDCUP!$AC$4:$AC$147,MATCH(A13,WORLDCUP!$AH$4:$AH$147,0)))</f>
        <v>1</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Bos</v>
      </c>
      <c r="I13" s="38">
        <f ca="1">+INDEX(WORLDCUP!$AM$6:$AM$97,MATCH(L13,WORLDCUP!$AI$6:$AI$97,0))</f>
        <v>4</v>
      </c>
      <c r="J13" s="39">
        <f ca="1">+INDEX(WORLDCUP!$AT$6:$AT$97,MATCH(L13,WORLDCUP!$AI$6:$AI$97,0))</f>
        <v>0</v>
      </c>
      <c r="K13" s="43" t="str">
        <f ca="1">+INDEX(WORLDCUP!$AR$6:$AR$97,MATCH(L13,WORLDCUP!$AI$6:$AI$97,0))&amp;"-"&amp;INDEX(WORLDCUP!$AS$6:$AS$97,MATCH(L13,WORLDCUP!$AI$6:$AI$97,0))</f>
        <v>3-3</v>
      </c>
      <c r="L13" s="181" t="s">
        <v>89</v>
      </c>
      <c r="M13" s="181">
        <v>38</v>
      </c>
      <c r="N13" s="505"/>
      <c r="O13" s="444" t="str">
        <f ca="1">+MID(INDEX(WORLDCUP!$AA$4:$AA$147,MATCH(M13,WORLDCUP!$AH$4:$AH$147,0)),1,3)</f>
        <v>Spa</v>
      </c>
      <c r="P13" s="445">
        <f>IF(ISBLANK(INDEX(WORLDCUP!$AC$4:$AC$147,MATCH(M13,WORLDCUP!$AH$4:$AH$147,0))),"",INDEX(WORLDCUP!$AC$4:$AC$147,MATCH(M13,WORLDCUP!$AH$4:$AH$147,0)))</f>
        <v>3</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Uru</v>
      </c>
      <c r="U13" s="38">
        <f ca="1">+INDEX(WORLDCUP!$AM$6:$AM$97,MATCH(X13,WORLDCUP!$AI$6:$AI$97,0))</f>
        <v>7</v>
      </c>
      <c r="V13" s="39">
        <f ca="1">+INDEX(WORLDCUP!$AT$6:$AT$97,MATCH(X13,WORLDCUP!$AI$6:$AI$97,0))</f>
        <v>4</v>
      </c>
      <c r="W13" s="43" t="str">
        <f ca="1">+INDEX(WORLDCUP!$AR$6:$AR$97,MATCH(X13,WORLDCUP!$AI$6:$AI$97,0))&amp;"-"&amp;INDEX(WORLDCUP!$AS$6:$AS$97,MATCH(X13,WORLDCUP!$AI$6:$AI$97,0))</f>
        <v>6-2</v>
      </c>
      <c r="X13" s="181" t="s">
        <v>116</v>
      </c>
      <c r="Y13" s="181">
        <v>75</v>
      </c>
      <c r="Z13" s="425" t="s">
        <v>94</v>
      </c>
      <c r="AA13" s="480" t="str">
        <f ca="1">+MID(INDEX(WORLDCUP!$AF$101:$AF$147,MATCH(Y13,WORLDCUP!$Z$101:$Z$147,0)),1,3)</f>
        <v>Mor</v>
      </c>
      <c r="AB13" s="481">
        <f>+IF(ISBLANK(INDEX(WORLDCUP!$AD$101:$AD$147,MATCH(Y13,WORLDCUP!$Z$101:$Z$147,0))),"",INDEX(WORLDCUP!$AD$101:$AD$147,MATCH(Y13,WORLDCUP!$Z$101:$Z$147,0)))</f>
        <v>2</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Ger</v>
      </c>
      <c r="AN13" s="509">
        <f>+IF(ISBLANK(INDEX(WORLDCUP!$AC$101:$AC$147,MATCH(AL13,WORLDCUP!$Z$101:$Z$147,0))),"",INDEX(WORLDCUP!$AC$101:$AC$147,MATCH(AL13,WORLDCUP!$Z$101:$Z$147,0)))</f>
        <v>1</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2</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Swi</v>
      </c>
      <c r="I14" s="38">
        <f ca="1">+INDEX(WORLDCUP!$AM$6:$AM$97,MATCH(L14,WORLDCUP!$AI$6:$AI$97,0))</f>
        <v>3</v>
      </c>
      <c r="J14" s="39">
        <f ca="1">+INDEX(WORLDCUP!$AT$6:$AT$97,MATCH(L14,WORLDCUP!$AI$6:$AI$97,0))</f>
        <v>0</v>
      </c>
      <c r="K14" s="43" t="str">
        <f ca="1">+INDEX(WORLDCUP!$AR$6:$AR$97,MATCH(L14,WORLDCUP!$AI$6:$AI$97,0))&amp;"-"&amp;INDEX(WORLDCUP!$AS$6:$AS$97,MATCH(L14,WORLDCUP!$AI$6:$AI$97,0))</f>
        <v>3-3</v>
      </c>
      <c r="L14" s="181" t="s">
        <v>91</v>
      </c>
      <c r="M14" s="181">
        <v>37</v>
      </c>
      <c r="N14" s="505"/>
      <c r="O14" s="444" t="str">
        <f ca="1">+MID(INDEX(WORLDCUP!$AA$4:$AA$147,MATCH(M14,WORLDCUP!$AH$4:$AH$147,0)),1,3)</f>
        <v>Uru</v>
      </c>
      <c r="P14" s="445">
        <f>IF(ISBLANK(INDEX(WORLDCUP!$AC$4:$AC$147,MATCH(M14,WORLDCUP!$AH$4:$AH$147,0))),"",INDEX(WORLDCUP!$AC$4:$AC$147,MATCH(M14,WORLDCUP!$AH$4:$AH$147,0)))</f>
        <v>2</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-4</v>
      </c>
      <c r="W14" s="43" t="str">
        <f ca="1">+INDEX(WORLDCUP!$AR$6:$AR$97,MATCH(X14,WORLDCUP!$AI$6:$AI$97,0))&amp;"-"&amp;INDEX(WORLDCUP!$AS$6:$AS$97,MATCH(X14,WORLDCUP!$AI$6:$AI$97,0))</f>
        <v>2-6</v>
      </c>
      <c r="X14" s="181" t="s">
        <v>118</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0</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1</v>
      </c>
      <c r="BJ14" s="464">
        <f ca="1">COUNTIF(Pool!$C$182:$C$197,Fixture!BG14)-BK14-BL14-BM14-BN14-BO14</f>
        <v>0</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7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Qat</v>
      </c>
      <c r="I15" s="477">
        <f ca="1">+INDEX(WORLDCUP!$AM$6:$AM$97,MATCH(L15,WORLDCUP!$AI$6:$AI$97,0))</f>
        <v>1</v>
      </c>
      <c r="J15" s="478">
        <f ca="1">+INDEX(WORLDCUP!$AT$6:$AT$97,MATCH(L15,WORLDCUP!$AI$6:$AI$97,0))</f>
        <v>-3</v>
      </c>
      <c r="K15" s="479" t="str">
        <f ca="1">+INDEX(WORLDCUP!$AR$6:$AR$97,MATCH(L15,WORLDCUP!$AI$6:$AI$97,0))&amp;"-"&amp;INDEX(WORLDCUP!$AS$6:$AS$97,MATCH(L15,WORLDCUP!$AI$6:$AI$97,0))</f>
        <v>1-4</v>
      </c>
      <c r="L15" s="181" t="s">
        <v>92</v>
      </c>
      <c r="M15" s="181">
        <v>65</v>
      </c>
      <c r="N15" s="505"/>
      <c r="O15" s="444" t="str">
        <f ca="1">+MID(INDEX(WORLDCUP!$AA$4:$AA$147,MATCH(M15,WORLDCUP!$AH$4:$AH$147,0)),1,3)</f>
        <v>Cap</v>
      </c>
      <c r="P15" s="445">
        <f>IF(ISBLANK(INDEX(WORLDCUP!$AC$4:$AC$147,MATCH(M15,WORLDCUP!$AH$4:$AH$147,0))),"",INDEX(WORLDCUP!$AC$4:$AC$147,MATCH(M15,WORLDCUP!$AH$4:$AH$147,0)))</f>
        <v>1</v>
      </c>
      <c r="Q15" s="445">
        <f>IF(ISBLANK(INDEX(WORLDCUP!$AD$4:$AD$147,MATCH(M15,WORLDCUP!$AH$4:$AH$147,0))),"",INDEX(WORLDCUP!$AD$4:$AD$147,MATCH(M15,WORLDCUP!$AH$4:$AH$147,0)))</f>
        <v>2</v>
      </c>
      <c r="R15" s="446" t="str">
        <f ca="1">+MID(INDEX(WORLDCUP!$AF$4:$AF$147,MATCH(M15,WORLDCUP!$AH$4:$AH$147,0)),1,3)</f>
        <v>Sau</v>
      </c>
      <c r="S15" s="467">
        <v>4</v>
      </c>
      <c r="T15" s="476" t="str">
        <f ca="1">+MID(INDEX(WORLDCUP!$AL$6:$AL$97,MATCH(X15,WORLDCUP!$AI$6:$AI$97,0)),1,3)</f>
        <v>Cap</v>
      </c>
      <c r="U15" s="477">
        <f ca="1">+INDEX(WORLDCUP!$AM$6:$AM$97,MATCH(X15,WORLDCUP!$AI$6:$AI$97,0))</f>
        <v>0</v>
      </c>
      <c r="V15" s="478">
        <f ca="1">+INDEX(WORLDCUP!$AT$6:$AT$97,MATCH(X15,WORLDCUP!$AI$6:$AI$97,0))</f>
        <v>-6</v>
      </c>
      <c r="W15" s="479" t="str">
        <f ca="1">+INDEX(WORLDCUP!$AR$6:$AR$97,MATCH(X15,WORLDCUP!$AI$6:$AI$97,0))&amp;"-"&amp;INDEX(WORLDCUP!$AS$6:$AS$97,MATCH(X15,WORLDCUP!$AI$6:$AI$97,0))</f>
        <v>1-7</v>
      </c>
      <c r="X15" s="181" t="s">
        <v>119</v>
      </c>
      <c r="Y15" s="181">
        <v>83</v>
      </c>
      <c r="Z15" s="425" t="s">
        <v>130</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1</v>
      </c>
      <c r="BI15" s="463">
        <f ca="1">COUNTIF(Pool!$C$130:$C$161,Fixture!BG15)-BJ15-BK15-BL15-BM15-BN15-BO15</f>
        <v>0</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75" thickBot="1">
      <c r="A16" s="181">
        <v>52</v>
      </c>
      <c r="B16" s="513"/>
      <c r="C16" s="487" t="str">
        <f ca="1">+MID(INDEX(WORLDCUP!$AA$4:$AA$147,MATCH(A16,WORLDCUP!$AH$4:$AH$147,0)),1,3)</f>
        <v>Bos</v>
      </c>
      <c r="D16" s="488">
        <f>IF(ISBLANK(INDEX(WORLDCUP!$AC$4:$AC$147,MATCH(A16,WORLDCUP!$AH$4:$AH$147,0))),"",INDEX(WORLDCUP!$AC$4:$AC$147,MATCH(A16,WORLDCUP!$AH$4:$AH$147,0)))</f>
        <v>1</v>
      </c>
      <c r="E16" s="488">
        <f>IF(ISBLANK(INDEX(WORLDCUP!$AD$4:$AD$147,MATCH(A16,WORLDCUP!$AH$4:$AH$147,0))),"",INDEX(WORLDCUP!$AD$4:$AD$147,MATCH(A16,WORLDCUP!$AH$4:$AH$147,0)))</f>
        <v>0</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2</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134</v>
      </c>
      <c r="AA16" s="426" t="str">
        <f ca="1">+MID(INDEX(WORLDCUP!$AF$101:$AF$147,MATCH(Y16,WORLDCUP!$Z$101:$Z$147,0)),1,3)</f>
        <v>Gha</v>
      </c>
      <c r="AB16" s="453">
        <f>+IF(ISBLANK(INDEX(WORLDCUP!$AD$101:$AD$147,MATCH(Y16,WORLDCUP!$Z$101:$Z$147,0))),"",INDEX(WORLDCUP!$AD$101:$AD$147,MATCH(Y16,WORLDCUP!$Z$101:$Z$147,0)))</f>
        <v>2</v>
      </c>
      <c r="AC16" s="454" t="str">
        <f>+IF(ISBLANK(INDEX(WORLDCUP!$AE$101:$AE$147,MATCH(Y16,WORLDCUP!$Z$101:$Z$147,0))),"","( "&amp;INDEX(WORLDCUP!$AE$101:$AE$147,MATCH(Y16,WORLDCUP!$Z$101:$Z$147,0))&amp;" )")</f>
        <v/>
      </c>
      <c r="AD16" s="455">
        <v>93</v>
      </c>
      <c r="AE16" s="456" t="str">
        <f ca="1">+MID(INDEX(WORLDCUP!$AA$101:$AA$147,MATCH(AD16,WORLDCUP!$Z$101:$Z$147,0)),1,3)</f>
        <v>Gha</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0</v>
      </c>
      <c r="BI16" s="463">
        <f ca="1">COUNTIF(Pool!$C$130:$C$161,Fixture!BG16)-BJ16-BK16-BL16-BM16-BN16-BO16</f>
        <v>0</v>
      </c>
      <c r="BJ16" s="464">
        <f ca="1">COUNTIF(Pool!$C$182:$C$197,Fixture!BG16)-BK16-BL16-BM16-BN16-BO16</f>
        <v>1</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1</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0</v>
      </c>
      <c r="BI17" s="463">
        <f ca="1">COUNTIF(Pool!$C$130:$C$161,Fixture!BG17)-BJ17-BK17-BL17-BM17-BN17-BO17</f>
        <v>1</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7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115</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75" thickBot="1">
      <c r="A19" s="181">
        <v>7</v>
      </c>
      <c r="B19" s="518" t="s">
        <v>99</v>
      </c>
      <c r="C19" s="417" t="str">
        <f ca="1">+MID(INDEX(WORLDCUP!$AA$4:$AA$147,MATCH(A19,WORLDCUP!$AH$4:$AH$147,0)),1,3)</f>
        <v>Bra</v>
      </c>
      <c r="D19" s="418">
        <f>IF(ISBLANK(INDEX(WORLDCUP!$AC$4:$AC$147,MATCH(A19,WORLDCUP!$AH$4:$AH$147,0))),"",INDEX(WORLDCUP!$AC$4:$AC$147,MATCH(A19,WORLDCUP!$AH$4:$AH$147,0)))</f>
        <v>3</v>
      </c>
      <c r="E19" s="418">
        <f>IF(ISBLANK(INDEX(WORLDCUP!$AD$4:$AD$147,MATCH(A19,WORLDCUP!$AH$4:$AH$147,0))),"",INDEX(WORLDCUP!$AD$4:$AD$147,MATCH(A19,WORLDCUP!$AH$4:$AH$147,0)))</f>
        <v>1</v>
      </c>
      <c r="F19" s="419" t="str">
        <f ca="1">+MID(INDEX(WORLDCUP!$AF$4:$AF$147,MATCH(A19,WORLDCUP!$AH$4:$AH$147,0)),1,3)</f>
        <v>Mor</v>
      </c>
      <c r="G19" s="420"/>
      <c r="H19" s="421" t="str">
        <f>+H11</f>
        <v>Nat</v>
      </c>
      <c r="I19" s="422" t="str">
        <f>+I11</f>
        <v>Pts</v>
      </c>
      <c r="J19" s="422" t="str">
        <f>+J11</f>
        <v>GD</v>
      </c>
      <c r="K19" s="423" t="str">
        <f>+K11</f>
        <v>F-A</v>
      </c>
      <c r="L19" s="181"/>
      <c r="M19" s="181">
        <v>17</v>
      </c>
      <c r="N19" s="519" t="s">
        <v>141</v>
      </c>
      <c r="O19" s="417" t="str">
        <f ca="1">+MID(INDEX(WORLDCUP!$AA$4:$AA$147,MATCH(M19,WORLDCUP!$AH$4:$AH$147,0)),1,3)</f>
        <v>Fra</v>
      </c>
      <c r="P19" s="418">
        <f>IF(ISBLANK(INDEX(WORLDCUP!$AC$4:$AC$147,MATCH(M19,WORLDCUP!$AH$4:$AH$147,0))),"",INDEX(WORLDCUP!$AC$4:$AC$147,MATCH(M19,WORLDCUP!$AH$4:$AH$147,0)))</f>
        <v>3</v>
      </c>
      <c r="Q19" s="418">
        <f>IF(ISBLANK(INDEX(WORLDCUP!$AD$4:$AD$147,MATCH(M19,WORLDCUP!$AH$4:$AH$147,0))),"",INDEX(WORLDCUP!$AD$4:$AD$147,MATCH(M19,WORLDCUP!$AH$4:$AH$147,0)))</f>
        <v>1</v>
      </c>
      <c r="R19" s="419" t="str">
        <f ca="1">+MID(INDEX(WORLDCUP!$AF$4:$AF$147,MATCH(M19,WORLDCUP!$AH$4:$AH$147,0)),1,3)</f>
        <v>Sen</v>
      </c>
      <c r="S19" s="420"/>
      <c r="T19" s="421" t="str">
        <f>+T11</f>
        <v>Nat</v>
      </c>
      <c r="U19" s="422" t="str">
        <f>+U11</f>
        <v>Pts</v>
      </c>
      <c r="V19" s="422" t="str">
        <f>+V11</f>
        <v>GD</v>
      </c>
      <c r="W19" s="423" t="str">
        <f>+W11</f>
        <v>F-A</v>
      </c>
      <c r="X19" s="181"/>
      <c r="Y19" s="181">
        <v>84</v>
      </c>
      <c r="Z19" s="425" t="s">
        <v>125</v>
      </c>
      <c r="AA19" s="480" t="str">
        <f ca="1">+MID(INDEX(WORLDCUP!$AF$101:$AF$147,MATCH(Y19,WORLDCUP!$Z$101:$Z$147,0)),1,3)</f>
        <v>Aus</v>
      </c>
      <c r="AB19" s="481">
        <f>+IF(ISBLANK(INDEX(WORLDCUP!$AD$101:$AD$147,MATCH(Y19,WORLDCUP!$Z$101:$Z$147,0))),"",INDEX(WORLDCUP!$AD$101:$AD$147,MATCH(Y19,WORLDCUP!$Z$101:$Z$147,0)))</f>
        <v>1</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1</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0</v>
      </c>
      <c r="BI19" s="463">
        <f ca="1">COUNTIF(Pool!$C$130:$C$161,Fixture!BG19)-BJ19-BK19-BL19-BM19-BN19-BO19</f>
        <v>1</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1</v>
      </c>
      <c r="F20" s="446" t="str">
        <f ca="1">+MID(INDEX(WORLDCUP!$AF$4:$AF$147,MATCH(A20,WORLDCUP!$AH$4:$AH$147,0)),1,3)</f>
        <v>Sco</v>
      </c>
      <c r="G20" s="447">
        <v>1</v>
      </c>
      <c r="H20" s="448" t="str">
        <f ca="1">+MID(INDEX(WORLDCUP!$AL$6:$AL$97,MATCH(L20,WORLDCUP!$AI$6:$AI$97,0)),1,3)</f>
        <v>Bra</v>
      </c>
      <c r="I20" s="449">
        <f ca="1">+INDEX(WORLDCUP!$AM$6:$AM$97,MATCH(L20,WORLDCUP!$AI$6:$AI$97,0))</f>
        <v>9</v>
      </c>
      <c r="J20" s="450">
        <f ca="1">+INDEX(WORLDCUP!$AT$6:$AT$97,MATCH(L20,WORLDCUP!$AI$6:$AI$97,0))</f>
        <v>10</v>
      </c>
      <c r="K20" s="451" t="str">
        <f ca="1">+INDEX(WORLDCUP!$AR$6:$AR$97,MATCH(L20,WORLDCUP!$AI$6:$AI$97,0))&amp;"-"&amp;INDEX(WORLDCUP!$AS$6:$AS$97,MATCH(L20,WORLDCUP!$AI$6:$AI$97,0))</f>
        <v>12-2</v>
      </c>
      <c r="L20" s="181" t="s">
        <v>93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3</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7</v>
      </c>
      <c r="W20" s="451" t="str">
        <f ca="1">+INDEX(WORLDCUP!$AR$6:$AR$97,MATCH(X20,WORLDCUP!$AI$6:$AI$97,0))&amp;"-"&amp;INDEX(WORLDCUP!$AS$6:$AS$97,MATCH(X20,WORLDCUP!$AI$6:$AI$97,0))</f>
        <v>8-1</v>
      </c>
      <c r="X20" s="181" t="s">
        <v>120</v>
      </c>
      <c r="Y20" s="181"/>
      <c r="Z20" s="425"/>
      <c r="AA20" s="494"/>
      <c r="AB20" s="494"/>
      <c r="AC20" s="494"/>
      <c r="AD20" s="181"/>
      <c r="AE20" s="429"/>
      <c r="AF20" s="429"/>
      <c r="AG20" s="475"/>
      <c r="AH20" s="181">
        <v>98</v>
      </c>
      <c r="AI20" s="483" t="str">
        <f ca="1">+MID(INDEX(WORLDCUP!$AF$101:$AF$147,MATCH(AH20,WORLDCUP!$Z$101:$Z$147,0)),1,3)</f>
        <v>Tur</v>
      </c>
      <c r="AJ20" s="484">
        <f>+IF(ISBLANK(INDEX(WORLDCUP!$AD$101:$AD$147,MATCH(AH20,WORLDCUP!$Z$101:$Z$147,0))),"",INDEX(WORLDCUP!$AD$101:$AD$147,MATCH(AH20,WORLDCUP!$Z$101:$Z$147,0)))</f>
        <v>0</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1</v>
      </c>
      <c r="BN20" s="463">
        <f ca="1">COUNTIF(Pool!$C$251,Fixture!BG20)</f>
        <v>0</v>
      </c>
      <c r="BO20" s="466">
        <f ca="1">COUNTIF(Pool!$C$250,Fixture!BG20)</f>
        <v>0</v>
      </c>
    </row>
    <row r="21" spans="1:67" ht="15.75" thickBot="1">
      <c r="A21" s="181">
        <v>30</v>
      </c>
      <c r="B21" s="521"/>
      <c r="C21" s="444" t="str">
        <f ca="1">+MID(INDEX(WORLDCUP!$AA$4:$AA$147,MATCH(A21,WORLDCUP!$AH$4:$AH$147,0)),1,3)</f>
        <v>Sco</v>
      </c>
      <c r="D21" s="445">
        <f>IF(ISBLANK(INDEX(WORLDCUP!$AC$4:$AC$147,MATCH(A21,WORLDCUP!$AH$4:$AH$147,0))),"",INDEX(WORLDCUP!$AC$4:$AC$147,MATCH(A21,WORLDCUP!$AH$4:$AH$147,0)))</f>
        <v>1</v>
      </c>
      <c r="E21" s="445">
        <f>IF(ISBLANK(INDEX(WORLDCUP!$AD$4:$AD$147,MATCH(A21,WORLDCUP!$AH$4:$AH$147,0))),"",INDEX(WORLDCUP!$AD$4:$AD$147,MATCH(A21,WORLDCUP!$AH$4:$AH$147,0)))</f>
        <v>2</v>
      </c>
      <c r="F21" s="446" t="str">
        <f ca="1">+MID(INDEX(WORLDCUP!$AF$4:$AF$147,MATCH(A21,WORLDCUP!$AH$4:$AH$147,0)),1,3)</f>
        <v>Mor</v>
      </c>
      <c r="G21" s="467">
        <v>2</v>
      </c>
      <c r="H21" s="468" t="str">
        <f ca="1">+MID(INDEX(WORLDCUP!$AL$6:$AL$97,MATCH(L21,WORLDCUP!$AI$6:$AI$97,0)),1,3)</f>
        <v>Mor</v>
      </c>
      <c r="I21" s="38">
        <f ca="1">+INDEX(WORLDCUP!$AM$6:$AM$97,MATCH(L21,WORLDCUP!$AI$6:$AI$97,0))</f>
        <v>6</v>
      </c>
      <c r="J21" s="39">
        <f ca="1">+INDEX(WORLDCUP!$AT$6:$AT$97,MATCH(L21,WORLDCUP!$AI$6:$AI$97,0))</f>
        <v>3</v>
      </c>
      <c r="K21" s="43" t="str">
        <f ca="1">+INDEX(WORLDCUP!$AR$6:$AR$97,MATCH(L21,WORLDCUP!$AI$6:$AI$97,0))&amp;"-"&amp;INDEX(WORLDCUP!$AS$6:$AS$97,MATCH(L21,WORLDCUP!$AI$6:$AI$97,0))</f>
        <v>7-4</v>
      </c>
      <c r="L21" s="181" t="s">
        <v>94</v>
      </c>
      <c r="M21" s="181">
        <v>42</v>
      </c>
      <c r="N21" s="522"/>
      <c r="O21" s="444" t="str">
        <f ca="1">+MID(INDEX(WORLDCUP!$AA$4:$AA$147,MATCH(M21,WORLDCUP!$AH$4:$AH$147,0)),1,3)</f>
        <v>Fra</v>
      </c>
      <c r="P21" s="445">
        <f>IF(ISBLANK(INDEX(WORLDCUP!$AC$4:$AC$147,MATCH(M21,WORLDCUP!$AH$4:$AH$147,0))),"",INDEX(WORLDCUP!$AC$4:$AC$147,MATCH(M21,WORLDCUP!$AH$4:$AH$147,0)))</f>
        <v>3</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Sen</v>
      </c>
      <c r="U21" s="38">
        <f ca="1">+INDEX(WORLDCUP!$AM$6:$AM$97,MATCH(X21,WORLDCUP!$AI$6:$AI$97,0))</f>
        <v>6</v>
      </c>
      <c r="V21" s="39">
        <f ca="1">+INDEX(WORLDCUP!$AT$6:$AT$97,MATCH(X21,WORLDCUP!$AI$6:$AI$97,0))</f>
        <v>3</v>
      </c>
      <c r="W21" s="43" t="str">
        <f ca="1">+INDEX(WORLDCUP!$AR$6:$AR$97,MATCH(X21,WORLDCUP!$AI$6:$AI$97,0))&amp;"-"&amp;INDEX(WORLDCUP!$AS$6:$AS$97,MATCH(X21,WORLDCUP!$AI$6:$AI$97,0))</f>
        <v>7-4</v>
      </c>
      <c r="X21" s="181" t="s">
        <v>121</v>
      </c>
      <c r="Y21" s="181">
        <v>81</v>
      </c>
      <c r="Z21" s="425" t="s">
        <v>97</v>
      </c>
      <c r="AA21" s="426" t="str">
        <f ca="1">+MID(INDEX(WORLDCUP!$AA$101:$AA$147,MATCH(Y21,WORLDCUP!$Z$101:$Z$147,0)),1,3)</f>
        <v>Tur</v>
      </c>
      <c r="AB21" s="427">
        <f>+IF(ISBLANK(INDEX(WORLDCUP!$AC$101:$AC$147,MATCH(Y21,WORLDCUP!$Z$101:$Z$147,0))),"",INDEX(WORLDCUP!$AC$101:$AC$147,MATCH(Y21,WORLDCUP!$Z$101:$Z$147,0)))</f>
        <v>3</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United States</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1</v>
      </c>
      <c r="BK21" s="465">
        <f ca="1">COUNTIF(Pool!$C$210:$C$217,Fixture!BG21)-BL21-BM21-BN21-BO21</f>
        <v>0</v>
      </c>
      <c r="BL21" s="465">
        <f ca="1">COUNTIF(Pool!$C$226:$C$229,Fixture!BG21)-BM21-BN21-BO21</f>
        <v>0</v>
      </c>
      <c r="BM21" s="463">
        <f ca="1">COUNTIF(Pool!$C$252,Fixture!BG21)</f>
        <v>0</v>
      </c>
      <c r="BN21" s="463">
        <f ca="1">COUNTIF(Pool!$C$251,Fixture!BG21)</f>
        <v>0</v>
      </c>
      <c r="BO21" s="466">
        <f ca="1">COUNTIF(Pool!$C$250,Fixture!BG21)</f>
        <v>0</v>
      </c>
    </row>
    <row r="22" spans="1:67" ht="15.75" thickBot="1">
      <c r="A22" s="181">
        <v>29</v>
      </c>
      <c r="B22" s="521"/>
      <c r="C22" s="444" t="str">
        <f ca="1">+MID(INDEX(WORLDCUP!$AA$4:$AA$147,MATCH(A22,WORLDCUP!$AH$4:$AH$147,0)),1,3)</f>
        <v>Bra</v>
      </c>
      <c r="D22" s="445">
        <f>IF(ISBLANK(INDEX(WORLDCUP!$AC$4:$AC$147,MATCH(A22,WORLDCUP!$AH$4:$AH$147,0))),"",INDEX(WORLDCUP!$AC$4:$AC$147,MATCH(A22,WORLDCUP!$AH$4:$AH$147,0)))</f>
        <v>6</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Sco</v>
      </c>
      <c r="I22" s="38">
        <f ca="1">+INDEX(WORLDCUP!$AM$6:$AM$97,MATCH(L22,WORLDCUP!$AI$6:$AI$97,0))</f>
        <v>3</v>
      </c>
      <c r="J22" s="39">
        <f ca="1">+INDEX(WORLDCUP!$AT$6:$AT$97,MATCH(L22,WORLDCUP!$AI$6:$AI$97,0))</f>
        <v>-2</v>
      </c>
      <c r="K22" s="43" t="str">
        <f ca="1">+INDEX(WORLDCUP!$AR$6:$AR$97,MATCH(L22,WORLDCUP!$AI$6:$AI$97,0))&amp;"-"&amp;INDEX(WORLDCUP!$AS$6:$AS$97,MATCH(L22,WORLDCUP!$AI$6:$AI$97,0))</f>
        <v>3-5</v>
      </c>
      <c r="L22" s="181" t="s">
        <v>95</v>
      </c>
      <c r="M22" s="181">
        <v>41</v>
      </c>
      <c r="N22" s="522"/>
      <c r="O22" s="444" t="str">
        <f ca="1">+MID(INDEX(WORLDCUP!$AA$4:$AA$147,MATCH(M22,WORLDCUP!$AH$4:$AH$147,0)),1,3)</f>
        <v>Nor</v>
      </c>
      <c r="P22" s="445">
        <f>IF(ISBLANK(INDEX(WORLDCUP!$AC$4:$AC$147,MATCH(M22,WORLDCUP!$AH$4:$AH$147,0))),"",INDEX(WORLDCUP!$AC$4:$AC$147,MATCH(M22,WORLDCUP!$AH$4:$AH$147,0)))</f>
        <v>1</v>
      </c>
      <c r="Q22" s="445">
        <f>IF(ISBLANK(INDEX(WORLDCUP!$AD$4:$AD$147,MATCH(M22,WORLDCUP!$AH$4:$AH$147,0))),"",INDEX(WORLDCUP!$AD$4:$AD$147,MATCH(M22,WORLDCUP!$AH$4:$AH$147,0)))</f>
        <v>3</v>
      </c>
      <c r="R22" s="446" t="str">
        <f ca="1">+MID(INDEX(WORLDCUP!$AF$4:$AF$147,MATCH(M22,WORLDCUP!$AH$4:$AH$147,0)),1,3)</f>
        <v>Sen</v>
      </c>
      <c r="S22" s="467">
        <v>3</v>
      </c>
      <c r="T22" s="468" t="str">
        <f ca="1">+MID(INDEX(WORLDCUP!$AL$6:$AL$97,MATCH(X22,WORLDCUP!$AI$6:$AI$97,0)),1,3)</f>
        <v>Nor</v>
      </c>
      <c r="U22" s="38">
        <f ca="1">+INDEX(WORLDCUP!$AM$6:$AM$97,MATCH(X22,WORLDCUP!$AI$6:$AI$97,0))</f>
        <v>3</v>
      </c>
      <c r="V22" s="39">
        <f ca="1">+INDEX(WORLDCUP!$AT$6:$AT$97,MATCH(X22,WORLDCUP!$AI$6:$AI$97,0))</f>
        <v>-1</v>
      </c>
      <c r="W22" s="43" t="str">
        <f ca="1">+INDEX(WORLDCUP!$AR$6:$AR$97,MATCH(X22,WORLDCUP!$AI$6:$AI$97,0))&amp;"-"&amp;INDEX(WORLDCUP!$AS$6:$AS$97,MATCH(X22,WORLDCUP!$AI$6:$AI$97,0))</f>
        <v>4-5</v>
      </c>
      <c r="X22" s="181" t="s">
        <v>122</v>
      </c>
      <c r="Y22" s="181">
        <v>81</v>
      </c>
      <c r="Z22" s="425" t="s">
        <v>170</v>
      </c>
      <c r="AA22" s="426" t="str">
        <f ca="1">+MID(INDEX(WORLDCUP!$AF$101:$AF$147,MATCH(Y22,WORLDCUP!$Z$101:$Z$147,0)),1,IF(WORLDCUP!$H$113&lt;144,6,3))</f>
        <v>Swi</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Tur</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0</v>
      </c>
      <c r="BJ22" s="464">
        <f ca="1">COUNTIF(Pool!$C$182:$C$197,Fixture!BG22)-BK22-BL22-BM22-BN22-BO22</f>
        <v>0</v>
      </c>
      <c r="BK22" s="465">
        <f ca="1">COUNTIF(Pool!$C$210:$C$217,Fixture!BG22)-BL22-BM22-BN22-BO22</f>
        <v>0</v>
      </c>
      <c r="BL22" s="465">
        <f ca="1">COUNTIF(Pool!$C$226:$C$229,Fixture!BG22)-BM22-BN22-BO22</f>
        <v>0</v>
      </c>
      <c r="BM22" s="463">
        <f ca="1">COUNTIF(Pool!$C$252,Fixture!BG22)</f>
        <v>0</v>
      </c>
      <c r="BN22" s="463">
        <f ca="1">COUNTIF(Pool!$C$251,Fixture!BG22)</f>
        <v>1</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3</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-11</v>
      </c>
      <c r="K23" s="479" t="str">
        <f ca="1">+INDEX(WORLDCUP!$AR$6:$AR$97,MATCH(L23,WORLDCUP!$AI$6:$AI$97,0))&amp;"-"&amp;INDEX(WORLDCUP!$AS$6:$AS$97,MATCH(L23,WORLDCUP!$AI$6:$AI$97,0))</f>
        <v>0-11</v>
      </c>
      <c r="L23" s="181" t="s">
        <v>96</v>
      </c>
      <c r="M23" s="181">
        <v>61</v>
      </c>
      <c r="N23" s="522"/>
      <c r="O23" s="444" t="str">
        <f ca="1">+MID(INDEX(WORLDCUP!$AA$4:$AA$147,MATCH(M23,WORLDCUP!$AH$4:$AH$147,0)),1,3)</f>
        <v>Nor</v>
      </c>
      <c r="P23" s="445">
        <f>IF(ISBLANK(INDEX(WORLDCUP!$AC$4:$AC$147,MATCH(M23,WORLDCUP!$AH$4:$AH$147,0))),"",INDEX(WORLDCUP!$AC$4:$AC$147,MATCH(M23,WORLDCUP!$AH$4:$AH$147,0)))</f>
        <v>0</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Ira</v>
      </c>
      <c r="U23" s="477">
        <f ca="1">+INDEX(WORLDCUP!$AM$6:$AM$97,MATCH(X23,WORLDCUP!$AI$6:$AI$97,0))</f>
        <v>0</v>
      </c>
      <c r="V23" s="478">
        <f ca="1">+INDEX(WORLDCUP!$AT$6:$AT$97,MATCH(X23,WORLDCUP!$AI$6:$AI$97,0))</f>
        <v>-9</v>
      </c>
      <c r="W23" s="479" t="str">
        <f ca="1">+INDEX(WORLDCUP!$AR$6:$AR$97,MATCH(X23,WORLDCUP!$AI$6:$AI$97,0))&amp;"-"&amp;INDEX(WORLDCUP!$AS$6:$AS$97,MATCH(X23,WORLDCUP!$AI$6:$AI$97,0))</f>
        <v>0-9</v>
      </c>
      <c r="X23" s="181" t="s">
        <v>123</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0</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Germany</v>
      </c>
      <c r="BC23" s="529"/>
      <c r="BD23" s="153"/>
      <c r="BE23" s="153"/>
      <c r="BG23" s="462" t="str">
        <f ca="1">Horarios!Q22</f>
        <v>Ghana</v>
      </c>
      <c r="BH23" s="463">
        <f t="shared" ca="1" si="0"/>
        <v>0</v>
      </c>
      <c r="BI23" s="463">
        <f ca="1">COUNTIF(Pool!$C$130:$C$161,Fixture!BG23)-BJ23-BK23-BL23-BM23-BN23-BO23</f>
        <v>0</v>
      </c>
      <c r="BJ23" s="464">
        <f ca="1">COUNTIF(Pool!$C$182:$C$197,Fixture!BG23)-BK23-BL23-BM23-BN23-BO23</f>
        <v>1</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75" thickBot="1">
      <c r="A24" s="181">
        <v>50</v>
      </c>
      <c r="B24" s="531"/>
      <c r="C24" s="487" t="str">
        <f ca="1">+MID(INDEX(WORLDCUP!$AA$4:$AA$147,MATCH(A24,WORLDCUP!$AH$4:$AH$147,0)),1,3)</f>
        <v>Mor</v>
      </c>
      <c r="D24" s="488">
        <f>IF(ISBLANK(INDEX(WORLDCUP!$AC$4:$AC$147,MATCH(A24,WORLDCUP!$AH$4:$AH$147,0))),"",INDEX(WORLDCUP!$AC$4:$AC$147,MATCH(A24,WORLDCUP!$AH$4:$AH$147,0)))</f>
        <v>4</v>
      </c>
      <c r="E24" s="488">
        <f>IF(ISBLANK(INDEX(WORLDCUP!$AD$4:$AD$147,MATCH(A24,WORLDCUP!$AH$4:$AH$147,0))),"",INDEX(WORLDCUP!$AD$4:$AD$147,MATCH(A24,WORLDCUP!$AH$4:$AH$147,0)))</f>
        <v>0</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3</v>
      </c>
      <c r="Q24" s="488">
        <f>IF(ISBLANK(INDEX(WORLDCUP!$AD$4:$AD$147,MATCH(M24,WORLDCUP!$AH$4:$AH$147,0))),"",INDEX(WORLDCUP!$AD$4:$AD$147,MATCH(M24,WORLDCUP!$AH$4:$AH$147,0)))</f>
        <v>0</v>
      </c>
      <c r="R24" s="489" t="str">
        <f ca="1">+MID(INDEX(WORLDCUP!$AF$4:$AF$147,MATCH(M24,WORLDCUP!$AH$4:$AH$147,0)),1,3)</f>
        <v>Ira</v>
      </c>
      <c r="S24" s="490"/>
      <c r="T24" s="490"/>
      <c r="U24" s="491"/>
      <c r="V24" s="491"/>
      <c r="W24" s="492"/>
      <c r="X24" s="181"/>
      <c r="Y24" s="181">
        <v>82</v>
      </c>
      <c r="Z24" s="425" t="s">
        <v>111</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7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172</v>
      </c>
      <c r="AA25" s="480" t="str">
        <f ca="1">+MID(INDEX(WORLDCUP!$AF$101:$AF$147,MATCH(Y25,WORLDCUP!$Z$101:$Z$147,0)),1,IF(WORLDCUP!$H$113&lt;144,6,3))</f>
        <v>Nor</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Germ</v>
      </c>
      <c r="AV25" s="538">
        <f>+IF(ISBLANK(INDEX(WORLDCUP!$AC$101:$AC$147,MATCH(AT25,WORLDCUP!$Z$101:$Z$147,0))),"",INDEX(WORLDCUP!$AC$101:$AC$147,MATCH(AT25,WORLDCUP!$Z$101:$Z$147,0)))</f>
        <v>0</v>
      </c>
      <c r="AW25" s="539" t="str">
        <f>+IF(ISBLANK(INDEX(WORLDCUP!$AB$101:$AB$147,MATCH(AT25,WORLDCUP!$Z$101:$Z$147,0))),"","( "&amp;INDEX(WORLDCUP!$AB$101:$AB$147,MATCH(AT25,WORLDCUP!$Z$101:$Z$147,0))&amp;" )")</f>
        <v/>
      </c>
      <c r="AX25" s="540"/>
      <c r="AY25" s="527"/>
      <c r="AZ25" s="528" t="str">
        <f ca="1">+WORLDCUP!AA152</f>
        <v>England</v>
      </c>
      <c r="BA25" s="530"/>
      <c r="BB25" s="533"/>
      <c r="BC25" s="529"/>
      <c r="BD25" s="153"/>
      <c r="BE25" s="153"/>
      <c r="BG25" s="462" t="str">
        <f ca="1">Horarios!Q24</f>
        <v>Iran</v>
      </c>
      <c r="BH25" s="463">
        <f t="shared" ca="1" si="0"/>
        <v>1</v>
      </c>
      <c r="BI25" s="463">
        <f ca="1">COUNTIF(Pool!$C$130:$C$161,Fixture!BG25)-BJ25-BK25-BL25-BM25-BN25-BO25</f>
        <v>0</v>
      </c>
      <c r="BJ25" s="464">
        <f ca="1">COUNTIF(Pool!$C$182:$C$197,Fixture!BG25)-BK25-BL25-BM25-BN25-BO25</f>
        <v>0</v>
      </c>
      <c r="BK25" s="465">
        <f ca="1">COUNTIF(Pool!$C$210:$C$217,Fixture!BG25)-BL25-BM25-BN25-BO25</f>
        <v>0</v>
      </c>
      <c r="BL25" s="465">
        <f ca="1">COUNTIF(Pool!$C$226:$C$229,Fixture!BG25)-BM25-BN25-BO25</f>
        <v>0</v>
      </c>
      <c r="BM25" s="463">
        <f ca="1">COUNTIF(Pool!$C$252,Fixture!BG25)</f>
        <v>0</v>
      </c>
      <c r="BN25" s="463">
        <f ca="1">COUNTIF(Pool!$C$251,Fixture!BG25)</f>
        <v>0</v>
      </c>
      <c r="BO25" s="466">
        <f ca="1">COUNTIF(Pool!$C$250,Fixture!BG25)</f>
        <v>0</v>
      </c>
    </row>
    <row r="26" spans="1:67" ht="15.7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Unit</v>
      </c>
      <c r="AV26" s="538">
        <f>+IF(ISBLANK(INDEX(WORLDCUP!$AD$101:$AD$147,MATCH(AT26,WORLDCUP!$Z$101:$Z$147,0))),"",INDEX(WORLDCUP!$AD$101:$AD$147,MATCH(AT26,WORLDCUP!$Z$101:$Z$147,0)))</f>
        <v>1</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75" thickBot="1">
      <c r="A27" s="181">
        <v>4</v>
      </c>
      <c r="B27" s="542" t="s">
        <v>108</v>
      </c>
      <c r="C27" s="417" t="str">
        <f ca="1">+MID(INDEX(WORLDCUP!$AA$4:$AA$147,MATCH(A27,WORLDCUP!$AH$4:$AH$147,0)),1,3)</f>
        <v>Uni</v>
      </c>
      <c r="D27" s="418">
        <f>IF(ISBLANK(INDEX(WORLDCUP!$AC$4:$AC$147,MATCH(A27,WORLDCUP!$AH$4:$AH$147,0))),"",INDEX(WORLDCUP!$AC$4:$AC$147,MATCH(A27,WORLDCUP!$AH$4:$AH$147,0)))</f>
        <v>3</v>
      </c>
      <c r="E27" s="418">
        <f>IF(ISBLANK(INDEX(WORLDCUP!$AD$4:$AD$147,MATCH(A27,WORLDCUP!$AH$4:$AH$147,0))),"",INDEX(WORLDCUP!$AD$4:$AD$147,MATCH(A27,WORLDCUP!$AH$4:$AH$147,0)))</f>
        <v>1</v>
      </c>
      <c r="F27" s="419" t="str">
        <f ca="1">+MID(INDEX(WORLDCUP!$AF$4:$AF$147,MATCH(A27,WORLDCUP!$AH$4:$AH$147,0)),1,3)</f>
        <v>Par</v>
      </c>
      <c r="G27" s="420"/>
      <c r="H27" s="421" t="str">
        <f>+H19</f>
        <v>Nat</v>
      </c>
      <c r="I27" s="422" t="str">
        <f>+I19</f>
        <v>Pts</v>
      </c>
      <c r="J27" s="422" t="str">
        <f>+J19</f>
        <v>GD</v>
      </c>
      <c r="K27" s="423" t="str">
        <f>+K19</f>
        <v>F-A</v>
      </c>
      <c r="L27" s="181"/>
      <c r="M27" s="181">
        <v>19</v>
      </c>
      <c r="N27" s="543" t="s">
        <v>142</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93</v>
      </c>
      <c r="AA27" s="426" t="str">
        <f ca="1">+MID(INDEX(WORLDCUP!$AA$101:$AA$147,MATCH(Y27,WORLDCUP!$Z$101:$Z$147,0)),1,3)</f>
        <v>Bra</v>
      </c>
      <c r="AB27" s="427">
        <f>+IF(ISBLANK(INDEX(WORLDCUP!$AC$101:$AC$147,MATCH(Y27,WORLDCUP!$Z$101:$Z$147,0))),"",INDEX(WORLDCUP!$AC$101:$AC$147,MATCH(Y27,WORLDCUP!$Z$101:$Z$147,0)))</f>
        <v>3</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0</v>
      </c>
      <c r="BI27" s="463">
        <f ca="1">COUNTIF(Pool!$C$130:$C$161,Fixture!BG27)-BJ27-BK27-BL27-BM27-BN27-BO27</f>
        <v>1</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7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Tur</v>
      </c>
      <c r="I28" s="449">
        <f ca="1">+INDEX(WORLDCUP!$AM$6:$AM$97,MATCH(L28,WORLDCUP!$AI$6:$AI$97,0))</f>
        <v>9</v>
      </c>
      <c r="J28" s="450">
        <f ca="1">+INDEX(WORLDCUP!$AT$6:$AT$97,MATCH(L28,WORLDCUP!$AI$6:$AI$97,0))</f>
        <v>7</v>
      </c>
      <c r="K28" s="451" t="str">
        <f ca="1">+INDEX(WORLDCUP!$AR$6:$AR$97,MATCH(L28,WORLDCUP!$AI$6:$AI$97,0))&amp;"-"&amp;INDEX(WORLDCUP!$AS$6:$AS$97,MATCH(L28,WORLDCUP!$AI$6:$AI$97,0))</f>
        <v>7-0</v>
      </c>
      <c r="L28" s="181" t="s">
        <v>97</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1</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7</v>
      </c>
      <c r="W28" s="451" t="str">
        <f ca="1">+INDEX(WORLDCUP!$AR$6:$AR$97,MATCH(X28,WORLDCUP!$AI$6:$AI$97,0))&amp;"-"&amp;INDEX(WORLDCUP!$AS$6:$AS$97,MATCH(X28,WORLDCUP!$AI$6:$AI$97,0))</f>
        <v>8-1</v>
      </c>
      <c r="X28" s="181" t="s">
        <v>124</v>
      </c>
      <c r="Y28" s="181">
        <v>76</v>
      </c>
      <c r="Z28" s="425" t="s">
        <v>107</v>
      </c>
      <c r="AA28" s="426" t="str">
        <f ca="1">+MID(INDEX(WORLDCUP!$AF$101:$AF$147,MATCH(Y28,WORLDCUP!$Z$101:$Z$147,0)),1,3)</f>
        <v>Net</v>
      </c>
      <c r="AB28" s="453">
        <f>+IF(ISBLANK(INDEX(WORLDCUP!$AD$101:$AD$147,MATCH(Y28,WORLDCUP!$Z$101:$Z$147,0))),"",INDEX(WORLDCUP!$AD$101:$AD$147,MATCH(Y28,WORLDCUP!$Z$101:$Z$147,0)))</f>
        <v>2</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1</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1</v>
      </c>
      <c r="BI28" s="463">
        <f ca="1">COUNTIF(Pool!$C$130:$C$161,Fixture!BG28)-BJ28-BK28-BL28-BM28-BN28-BO28</f>
        <v>0</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2</v>
      </c>
      <c r="E29" s="445">
        <f>IF(ISBLANK(INDEX(WORLDCUP!$AD$4:$AD$147,MATCH(A29,WORLDCUP!$AH$4:$AH$147,0))),"",INDEX(WORLDCUP!$AD$4:$AD$147,MATCH(A29,WORLDCUP!$AH$4:$AH$147,0)))</f>
        <v>1</v>
      </c>
      <c r="F29" s="446" t="str">
        <f ca="1">+MID(INDEX(WORLDCUP!$AF$4:$AF$147,MATCH(A29,WORLDCUP!$AH$4:$AH$147,0)),1,3)</f>
        <v>Aus</v>
      </c>
      <c r="G29" s="467">
        <v>2</v>
      </c>
      <c r="H29" s="468" t="str">
        <f ca="1">+MID(INDEX(WORLDCUP!$AL$6:$AL$97,MATCH(L29,WORLDCUP!$AI$6:$AI$97,0)),1,3)</f>
        <v>Uni</v>
      </c>
      <c r="I29" s="38">
        <f ca="1">+INDEX(WORLDCUP!$AM$6:$AM$97,MATCH(L29,WORLDCUP!$AI$6:$AI$97,0))</f>
        <v>6</v>
      </c>
      <c r="J29" s="39">
        <f ca="1">+INDEX(WORLDCUP!$AT$6:$AT$97,MATCH(L29,WORLDCUP!$AI$6:$AI$97,0))</f>
        <v>1</v>
      </c>
      <c r="K29" s="43" t="str">
        <f ca="1">+INDEX(WORLDCUP!$AR$6:$AR$97,MATCH(L29,WORLDCUP!$AI$6:$AI$97,0))&amp;"-"&amp;INDEX(WORLDCUP!$AS$6:$AS$97,MATCH(L29,WORLDCUP!$AI$6:$AI$97,0))</f>
        <v>5-4</v>
      </c>
      <c r="L29" s="181" t="s">
        <v>98</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1</v>
      </c>
      <c r="W29" s="43" t="str">
        <f ca="1">+INDEX(WORLDCUP!$AR$6:$AR$97,MATCH(X29,WORLDCUP!$AI$6:$AI$97,0))&amp;"-"&amp;INDEX(WORLDCUP!$AS$6:$AS$97,MATCH(X29,WORLDCUP!$AI$6:$AI$97,0))</f>
        <v>5-4</v>
      </c>
      <c r="X29" s="181" t="s">
        <v>125</v>
      </c>
      <c r="Y29" s="181"/>
      <c r="Z29" s="425"/>
      <c r="AA29" s="469"/>
      <c r="AB29" s="469"/>
      <c r="AC29" s="470"/>
      <c r="AD29" s="181">
        <v>91</v>
      </c>
      <c r="AE29" s="456" t="str">
        <f ca="1">+MID(INDEX(WORLDCUP!$AF$101:$AF$147,MATCH(AD29,WORLDCUP!$Z$101:$Z$147,0)),1,3)</f>
        <v>Sen</v>
      </c>
      <c r="AF29" s="457">
        <f>+IF(ISBLANK(INDEX(WORLDCUP!$AD$101:$AD$147,MATCH(AD29,WORLDCUP!$Z$101:$Z$147,0))),"",INDEX(WORLDCUP!$AD$101:$AD$147,MATCH(AD29,WORLDCUP!$Z$101:$Z$147,0)))</f>
        <v>0</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75" thickBot="1">
      <c r="A30" s="181">
        <v>31</v>
      </c>
      <c r="B30" s="544"/>
      <c r="C30" s="444" t="str">
        <f ca="1">+MID(INDEX(WORLDCUP!$AA$4:$AA$147,MATCH(A30,WORLDCUP!$AH$4:$AH$147,0)),1,3)</f>
        <v>Tur</v>
      </c>
      <c r="D30" s="445">
        <f>IF(ISBLANK(INDEX(WORLDCUP!$AC$4:$AC$147,MATCH(A30,WORLDCUP!$AH$4:$AH$147,0))),"",INDEX(WORLDCUP!$AC$4:$AC$147,MATCH(A30,WORLDCUP!$AH$4:$AH$147,0)))</f>
        <v>3</v>
      </c>
      <c r="E30" s="445">
        <f>IF(ISBLANK(INDEX(WORLDCUP!$AD$4:$AD$147,MATCH(A30,WORLDCUP!$AH$4:$AH$147,0))),"",INDEX(WORLDCUP!$AD$4:$AD$147,MATCH(A30,WORLDCUP!$AH$4:$AH$147,0)))</f>
        <v>0</v>
      </c>
      <c r="F30" s="446" t="str">
        <f ca="1">+MID(INDEX(WORLDCUP!$AF$4:$AF$147,MATCH(A30,WORLDCUP!$AH$4:$AH$147,0)),1,3)</f>
        <v>Par</v>
      </c>
      <c r="G30" s="467">
        <v>3</v>
      </c>
      <c r="H30" s="468" t="str">
        <f ca="1">+MID(INDEX(WORLDCUP!$AL$6:$AL$97,MATCH(L30,WORLDCUP!$AI$6:$AI$97,0)),1,3)</f>
        <v>Aus</v>
      </c>
      <c r="I30" s="38">
        <f ca="1">+INDEX(WORLDCUP!$AM$6:$AM$97,MATCH(L30,WORLDCUP!$AI$6:$AI$97,0))</f>
        <v>1</v>
      </c>
      <c r="J30" s="39">
        <f ca="1">+INDEX(WORLDCUP!$AT$6:$AT$97,MATCH(L30,WORLDCUP!$AI$6:$AI$97,0))</f>
        <v>-3</v>
      </c>
      <c r="K30" s="43" t="str">
        <f ca="1">+INDEX(WORLDCUP!$AR$6:$AR$97,MATCH(L30,WORLDCUP!$AI$6:$AI$97,0))&amp;"-"&amp;INDEX(WORLDCUP!$AS$6:$AS$97,MATCH(L30,WORLDCUP!$AI$6:$AI$97,0))</f>
        <v>2-5</v>
      </c>
      <c r="L30" s="181" t="s">
        <v>100</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2</v>
      </c>
      <c r="R30" s="446" t="str">
        <f ca="1">+MID(INDEX(WORLDCUP!$AF$4:$AF$147,MATCH(M30,WORLDCUP!$AH$4:$AH$147,0)),1,3)</f>
        <v>Alg</v>
      </c>
      <c r="S30" s="467">
        <v>3</v>
      </c>
      <c r="T30" s="468" t="str">
        <f ca="1">+MID(INDEX(WORLDCUP!$AL$6:$AL$97,MATCH(X30,WORLDCUP!$AI$6:$AI$97,0)),1,3)</f>
        <v>Alg</v>
      </c>
      <c r="U30" s="38">
        <f ca="1">+INDEX(WORLDCUP!$AM$6:$AM$97,MATCH(X30,WORLDCUP!$AI$6:$AI$97,0))</f>
        <v>3</v>
      </c>
      <c r="V30" s="39">
        <f ca="1">+INDEX(WORLDCUP!$AT$6:$AT$97,MATCH(X30,WORLDCUP!$AI$6:$AI$97,0))</f>
        <v>-3</v>
      </c>
      <c r="W30" s="43" t="str">
        <f ca="1">+INDEX(WORLDCUP!$AR$6:$AR$97,MATCH(X30,WORLDCUP!$AI$6:$AI$97,0))&amp;"-"&amp;INDEX(WORLDCUP!$AS$6:$AS$97,MATCH(X30,WORLDCUP!$AI$6:$AI$97,0))</f>
        <v>3-6</v>
      </c>
      <c r="X30" s="181" t="s">
        <v>127</v>
      </c>
      <c r="Y30" s="181">
        <v>78</v>
      </c>
      <c r="Z30" s="425" t="s">
        <v>103</v>
      </c>
      <c r="AA30" s="426" t="str">
        <f ca="1">+MID(INDEX(WORLDCUP!$AA$101:$AA$147,MATCH(Y30,WORLDCUP!$Z$101:$Z$147,0)),1,3)</f>
        <v>Ecu</v>
      </c>
      <c r="AB30" s="472">
        <f>+IF(ISBLANK(INDEX(WORLDCUP!$AC$101:$AC$147,MATCH(Y30,WORLDCUP!$Z$101:$Z$147,0))),"",INDEX(WORLDCUP!$AC$101:$AC$147,MATCH(Y30,WORLDCUP!$Z$101:$Z$147,0)))</f>
        <v>1</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75" thickBot="1">
      <c r="A31" s="181">
        <v>59</v>
      </c>
      <c r="B31" s="544"/>
      <c r="C31" s="444" t="str">
        <f ca="1">+MID(INDEX(WORLDCUP!$AA$4:$AA$147,MATCH(A31,WORLDCUP!$AH$4:$AH$147,0)),1,3)</f>
        <v>Tur</v>
      </c>
      <c r="D31" s="445">
        <f>IF(ISBLANK(INDEX(WORLDCUP!$AC$4:$AC$147,MATCH(A31,WORLDCUP!$AH$4:$AH$147,0))),"",INDEX(WORLDCUP!$AC$4:$AC$147,MATCH(A31,WORLDCUP!$AH$4:$AH$147,0)))</f>
        <v>2</v>
      </c>
      <c r="E31" s="445">
        <f>IF(ISBLANK(INDEX(WORLDCUP!$AD$4:$AD$147,MATCH(A31,WORLDCUP!$AH$4:$AH$147,0))),"",INDEX(WORLDCUP!$AD$4:$AD$147,MATCH(A31,WORLDCUP!$AH$4:$AH$147,0)))</f>
        <v>0</v>
      </c>
      <c r="F31" s="446" t="str">
        <f ca="1">+MID(INDEX(WORLDCUP!$AF$4:$AF$147,MATCH(A31,WORLDCUP!$AH$4:$AH$147,0)),1,3)</f>
        <v>Uni</v>
      </c>
      <c r="G31" s="467">
        <v>4</v>
      </c>
      <c r="H31" s="476" t="str">
        <f ca="1">+MID(INDEX(WORLDCUP!$AL$6:$AL$97,MATCH(L31,WORLDCUP!$AI$6:$AI$97,0)),1,3)</f>
        <v>Par</v>
      </c>
      <c r="I31" s="477">
        <f ca="1">+INDEX(WORLDCUP!$AM$6:$AM$97,MATCH(L31,WORLDCUP!$AI$6:$AI$97,0))</f>
        <v>1</v>
      </c>
      <c r="J31" s="478">
        <f ca="1">+INDEX(WORLDCUP!$AT$6:$AT$97,MATCH(L31,WORLDCUP!$AI$6:$AI$97,0))</f>
        <v>-5</v>
      </c>
      <c r="K31" s="479" t="str">
        <f ca="1">+INDEX(WORLDCUP!$AR$6:$AR$97,MATCH(L31,WORLDCUP!$AI$6:$AI$97,0))&amp;"-"&amp;INDEX(WORLDCUP!$AS$6:$AS$97,MATCH(L31,WORLDCUP!$AI$6:$AI$97,0))</f>
        <v>2-7</v>
      </c>
      <c r="L31" s="181" t="s">
        <v>101</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Jor</v>
      </c>
      <c r="U31" s="477">
        <f ca="1">+INDEX(WORLDCUP!$AM$6:$AM$97,MATCH(X31,WORLDCUP!$AI$6:$AI$97,0))</f>
        <v>0</v>
      </c>
      <c r="V31" s="478">
        <f ca="1">+INDEX(WORLDCUP!$AT$6:$AT$97,MATCH(X31,WORLDCUP!$AI$6:$AI$97,0))</f>
        <v>-5</v>
      </c>
      <c r="W31" s="479" t="str">
        <f ca="1">+INDEX(WORLDCUP!$AR$6:$AR$97,MATCH(X31,WORLDCUP!$AI$6:$AI$97,0))&amp;"-"&amp;INDEX(WORLDCUP!$AS$6:$AS$97,MATCH(X31,WORLDCUP!$AI$6:$AI$97,0))</f>
        <v>2-7</v>
      </c>
      <c r="X31" s="181" t="s">
        <v>128</v>
      </c>
      <c r="Y31" s="181">
        <v>78</v>
      </c>
      <c r="Z31" s="425" t="s">
        <v>121</v>
      </c>
      <c r="AA31" s="480" t="str">
        <f ca="1">+MID(INDEX(WORLDCUP!$AF$101:$AF$147,MATCH(Y31,WORLDCUP!$Z$101:$Z$147,0)),1,3)</f>
        <v>Sen</v>
      </c>
      <c r="AB31" s="481">
        <f>+IF(ISBLANK(INDEX(WORLDCUP!$AD$101:$AD$147,MATCH(Y31,WORLDCUP!$Z$101:$Z$147,0))),"",INDEX(WORLDCUP!$AD$101:$AD$147,MATCH(Y31,WORLDCUP!$Z$101:$Z$147,0)))</f>
        <v>2</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1</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0</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0</v>
      </c>
      <c r="BJ31" s="464">
        <f ca="1">COUNTIF(Pool!$C$182:$C$197,Fixture!BG31)-BK31-BL31-BM31-BN31-BO31</f>
        <v>0</v>
      </c>
      <c r="BK31" s="465">
        <f ca="1">COUNTIF(Pool!$C$210:$C$217,Fixture!BG31)-BL31-BM31-BN31-BO31</f>
        <v>1</v>
      </c>
      <c r="BL31" s="465">
        <f ca="1">COUNTIF(Pool!$C$226:$C$229,Fixture!BG31)-BM31-BN31-BO31</f>
        <v>0</v>
      </c>
      <c r="BM31" s="463">
        <f ca="1">COUNTIF(Pool!$C$252,Fixture!BG31)</f>
        <v>0</v>
      </c>
      <c r="BN31" s="463">
        <f ca="1">COUNTIF(Pool!$C$251,Fixture!BG31)</f>
        <v>0</v>
      </c>
      <c r="BO31" s="466">
        <f ca="1">COUNTIF(Pool!$C$250,Fixture!BG31)</f>
        <v>0</v>
      </c>
    </row>
    <row r="32" spans="1:67" ht="15.75" thickBot="1">
      <c r="A32" s="181">
        <v>60</v>
      </c>
      <c r="B32" s="555"/>
      <c r="C32" s="487" t="str">
        <f ca="1">+MID(INDEX(WORLDCUP!$AA$4:$AA$147,MATCH(A32,WORLDCUP!$AH$4:$AH$147,0)),1,3)</f>
        <v>Par</v>
      </c>
      <c r="D32" s="488">
        <f>IF(ISBLANK(INDEX(WORLDCUP!$AC$4:$AC$147,MATCH(A32,WORLDCUP!$AH$4:$AH$147,0))),"",INDEX(WORLDCUP!$AC$4:$AC$147,MATCH(A32,WORLDCUP!$AH$4:$AH$147,0)))</f>
        <v>1</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3</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2</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Engl</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1</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0</v>
      </c>
    </row>
    <row r="33" spans="1:67" ht="15.7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84</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0</v>
      </c>
      <c r="BI33" s="463">
        <f ca="1">COUNTIF(Pool!$C$130:$C$161,Fixture!BG33)-BJ33-BK33-BL33-BM33-BN33-BO33</f>
        <v>1</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7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166</v>
      </c>
      <c r="AA34" s="426" t="str">
        <f ca="1">+MID(INDEX(WORLDCUP!$AF$101:$AF$147,MATCH(Y34,WORLDCUP!$Z$101:$Z$147,0)),1,IF(WORLDCUP!$H$113&lt;144,6,3))</f>
        <v>Ivo</v>
      </c>
      <c r="AB34" s="453">
        <f>+IF(ISBLANK(INDEX(WORLDCUP!$AD$101:$AD$147,MATCH(Y34,WORLDCUP!$Z$101:$Z$147,0))),"",INDEX(WORLDCUP!$AD$101:$AD$147,MATCH(Y34,WORLDCUP!$Z$101:$Z$147,0)))</f>
        <v>1</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0</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1</v>
      </c>
      <c r="BJ34" s="464">
        <f ca="1">COUNTIF(Pool!$C$182:$C$197,Fixture!BG34)-BK34-BL34-BM34-BN34-BO34</f>
        <v>0</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117</v>
      </c>
      <c r="C35" s="417" t="str">
        <f ca="1">+MID(INDEX(WORLDCUP!$AA$4:$AA$147,MATCH(A35,WORLDCUP!$AH$4:$AH$147,0)),1,3)</f>
        <v>Ger</v>
      </c>
      <c r="D35" s="418">
        <f>IF(ISBLANK(INDEX(WORLDCUP!$AC$4:$AC$147,MATCH(A35,WORLDCUP!$AH$4:$AH$147,0))),"",INDEX(WORLDCUP!$AC$4:$AC$147,MATCH(A35,WORLDCUP!$AH$4:$AH$147,0)))</f>
        <v>4</v>
      </c>
      <c r="E35" s="418">
        <f>IF(ISBLANK(INDEX(WORLDCUP!$AD$4:$AD$147,MATCH(A35,WORLDCUP!$AH$4:$AH$147,0))),"",INDEX(WORLDCUP!$AD$4:$AD$147,MATCH(A35,WORLDCUP!$AH$4:$AH$147,0)))</f>
        <v>0</v>
      </c>
      <c r="F35" s="419" t="str">
        <f ca="1">+MID(INDEX(WORLDCUP!$AF$4:$AF$147,MATCH(A35,WORLDCUP!$AH$4:$AH$147,0)),1,3)</f>
        <v>Cur</v>
      </c>
      <c r="G35" s="420"/>
      <c r="H35" s="421" t="str">
        <f>+H27</f>
        <v>Nat</v>
      </c>
      <c r="I35" s="422" t="str">
        <f>+I27</f>
        <v>Pts</v>
      </c>
      <c r="J35" s="422" t="str">
        <f>+J27</f>
        <v>GD</v>
      </c>
      <c r="K35" s="423" t="str">
        <f>+K27</f>
        <v>F-A</v>
      </c>
      <c r="L35" s="181"/>
      <c r="M35" s="181">
        <v>23</v>
      </c>
      <c r="N35" s="558" t="s">
        <v>143</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1</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1</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75" thickBot="1">
      <c r="A36" s="181">
        <v>9</v>
      </c>
      <c r="B36" s="560"/>
      <c r="C36" s="444" t="str">
        <f ca="1">+MID(INDEX(WORLDCUP!$AA$4:$AA$147,MATCH(A36,WORLDCUP!$AH$4:$AH$147,0)),1,3)</f>
        <v>Ivo</v>
      </c>
      <c r="D36" s="445">
        <f>IF(ISBLANK(INDEX(WORLDCUP!$AC$4:$AC$147,MATCH(A36,WORLDCUP!$AH$4:$AH$147,0))),"",INDEX(WORLDCUP!$AC$4:$AC$147,MATCH(A36,WORLDCUP!$AH$4:$AH$147,0)))</f>
        <v>2</v>
      </c>
      <c r="E36" s="445">
        <f>IF(ISBLANK(INDEX(WORLDCUP!$AD$4:$AD$147,MATCH(A36,WORLDCUP!$AH$4:$AH$147,0))),"",INDEX(WORLDCUP!$AD$4:$AD$147,MATCH(A36,WORLDCUP!$AH$4:$AH$147,0)))</f>
        <v>2</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6</v>
      </c>
      <c r="K36" s="451" t="str">
        <f ca="1">+INDEX(WORLDCUP!$AR$6:$AR$97,MATCH(L36,WORLDCUP!$AI$6:$AI$97,0))&amp;"-"&amp;INDEX(WORLDCUP!$AS$6:$AS$97,MATCH(L36,WORLDCUP!$AI$6:$AI$97,0))</f>
        <v>9-3</v>
      </c>
      <c r="L36" s="181" t="s">
        <v>102</v>
      </c>
      <c r="M36" s="181">
        <v>24</v>
      </c>
      <c r="N36" s="561"/>
      <c r="O36" s="444" t="str">
        <f ca="1">+MID(INDEX(WORLDCUP!$AA$4:$AA$147,MATCH(M36,WORLDCUP!$AH$4:$AH$147,0)),1,3)</f>
        <v>Uzb</v>
      </c>
      <c r="P36" s="445">
        <f>IF(ISBLANK(INDEX(WORLDCUP!$AC$4:$AC$147,MATCH(M36,WORLDCUP!$AH$4:$AH$147,0))),"",INDEX(WORLDCUP!$AC$4:$AC$147,MATCH(M36,WORLDCUP!$AH$4:$AH$147,0)))</f>
        <v>0</v>
      </c>
      <c r="Q36" s="445">
        <f>IF(ISBLANK(INDEX(WORLDCUP!$AD$4:$AD$147,MATCH(M36,WORLDCUP!$AH$4:$AH$147,0))),"",INDEX(WORLDCUP!$AD$4:$AD$147,MATCH(M36,WORLDCUP!$AH$4:$AH$147,0)))</f>
        <v>2</v>
      </c>
      <c r="R36" s="446" t="str">
        <f ca="1">+MID(INDEX(WORLDCUP!$AF$4:$AF$147,MATCH(M36,WORLDCUP!$AH$4:$AH$147,0)),1,3)</f>
        <v>Col</v>
      </c>
      <c r="S36" s="447">
        <v>1</v>
      </c>
      <c r="T36" s="448" t="str">
        <f ca="1">+MID(INDEX(WORLDCUP!$AL$6:$AL$97,MATCH(X36,WORLDCUP!$AI$6:$AI$97,0)),1,3)</f>
        <v>Por</v>
      </c>
      <c r="U36" s="449">
        <f ca="1">+INDEX(WORLDCUP!$AM$6:$AM$97,MATCH(X36,WORLDCUP!$AI$6:$AI$97,0))</f>
        <v>7</v>
      </c>
      <c r="V36" s="450">
        <f ca="1">+INDEX(WORLDCUP!$AT$6:$AT$97,MATCH(X36,WORLDCUP!$AI$6:$AI$97,0))</f>
        <v>5</v>
      </c>
      <c r="W36" s="451" t="str">
        <f ca="1">+INDEX(WORLDCUP!$AR$6:$AR$97,MATCH(X36,WORLDCUP!$AI$6:$AI$97,0))&amp;"-"&amp;INDEX(WORLDCUP!$AS$6:$AS$97,MATCH(X36,WORLDCUP!$AI$6:$AI$97,0))</f>
        <v>8-3</v>
      </c>
      <c r="X36" s="181" t="s">
        <v>129</v>
      </c>
      <c r="Y36" s="181">
        <v>80</v>
      </c>
      <c r="Z36" s="425" t="s">
        <v>133</v>
      </c>
      <c r="AA36" s="426" t="str">
        <f ca="1">+MID(INDEX(WORLDCUP!$AA$101:$AA$147,MATCH(Y36,WORLDCUP!$Z$101:$Z$147,0)),1,3)</f>
        <v>Eng</v>
      </c>
      <c r="AB36" s="472">
        <f>+IF(ISBLANK(INDEX(WORLDCUP!$AC$101:$AC$147,MATCH(Y36,WORLDCUP!$Z$101:$Z$147,0))),"",INDEX(WORLDCUP!$AC$101:$AC$147,MATCH(Y36,WORLDCUP!$Z$101:$Z$147,0)))</f>
        <v>1</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7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1</v>
      </c>
      <c r="F37" s="446" t="str">
        <f ca="1">+MID(INDEX(WORLDCUP!$AF$4:$AF$147,MATCH(A37,WORLDCUP!$AH$4:$AH$147,0)),1,3)</f>
        <v>Ivo</v>
      </c>
      <c r="G37" s="467">
        <v>2</v>
      </c>
      <c r="H37" s="468" t="str">
        <f ca="1">+MID(INDEX(WORLDCUP!$AL$6:$AL$97,MATCH(L37,WORLDCUP!$AI$6:$AI$97,0)),1,3)</f>
        <v>Ecu</v>
      </c>
      <c r="I37" s="38">
        <f ca="1">+INDEX(WORLDCUP!$AM$6:$AM$97,MATCH(L37,WORLDCUP!$AI$6:$AI$97,0))</f>
        <v>4</v>
      </c>
      <c r="J37" s="39">
        <f ca="1">+INDEX(WORLDCUP!$AT$6:$AT$97,MATCH(L37,WORLDCUP!$AI$6:$AI$97,0))</f>
        <v>2</v>
      </c>
      <c r="K37" s="43" t="str">
        <f ca="1">+INDEX(WORLDCUP!$AR$6:$AR$97,MATCH(L37,WORLDCUP!$AI$6:$AI$97,0))&amp;"-"&amp;INDEX(WORLDCUP!$AS$6:$AS$97,MATCH(L37,WORLDCUP!$AI$6:$AI$97,0))</f>
        <v>7-5</v>
      </c>
      <c r="L37" s="181" t="s">
        <v>103</v>
      </c>
      <c r="M37" s="181">
        <v>47</v>
      </c>
      <c r="N37" s="561"/>
      <c r="O37" s="444" t="str">
        <f ca="1">+MID(INDEX(WORLDCUP!$AA$4:$AA$147,MATCH(M37,WORLDCUP!$AH$4:$AH$147,0)),1,3)</f>
        <v>Por</v>
      </c>
      <c r="P37" s="445">
        <f>IF(ISBLANK(INDEX(WORLDCUP!$AC$4:$AC$147,MATCH(M37,WORLDCUP!$AH$4:$AH$147,0))),"",INDEX(WORLDCUP!$AC$4:$AC$147,MATCH(M37,WORLDCUP!$AH$4:$AH$147,0)))</f>
        <v>3</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7</v>
      </c>
      <c r="V37" s="39">
        <f ca="1">+INDEX(WORLDCUP!$AT$6:$AT$97,MATCH(X37,WORLDCUP!$AI$6:$AI$97,0))</f>
        <v>4</v>
      </c>
      <c r="W37" s="43" t="str">
        <f ca="1">+INDEX(WORLDCUP!$AR$6:$AR$97,MATCH(X37,WORLDCUP!$AI$6:$AI$97,0))&amp;"-"&amp;INDEX(WORLDCUP!$AS$6:$AS$97,MATCH(X37,WORLDCUP!$AI$6:$AI$97,0))</f>
        <v>7-3</v>
      </c>
      <c r="X37" s="181" t="s">
        <v>130</v>
      </c>
      <c r="Y37" s="181">
        <v>80</v>
      </c>
      <c r="Z37" s="425" t="s">
        <v>168</v>
      </c>
      <c r="AA37" s="480" t="str">
        <f ca="1">+MID(INDEX(WORLDCUP!$AF$101:$AF$147,MATCH(Y37,WORLDCUP!$Z$101:$Z$147,0)),1,IF(WORLDCUP!$H$113&lt;144,6,3))</f>
        <v xml:space="preserve">DR </v>
      </c>
      <c r="AB37" s="481">
        <f>+IF(ISBLANK(INDEX(WORLDCUP!$AD$101:$AD$147,MATCH(Y37,WORLDCUP!$Z$101:$Z$147,0))),"",INDEX(WORLDCUP!$AD$101:$AD$147,MATCH(Y37,WORLDCUP!$Z$101:$Z$147,0)))</f>
        <v>0</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0</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0</v>
      </c>
      <c r="BJ37" s="464">
        <f ca="1">COUNTIF(Pool!$C$182:$C$197,Fixture!BG37)-BK37-BL37-BM37-BN37-BO37</f>
        <v>0</v>
      </c>
      <c r="BK37" s="465">
        <f ca="1">COUNTIF(Pool!$C$210:$C$217,Fixture!BG37)-BL37-BM37-BN37-BO37</f>
        <v>1</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3</v>
      </c>
      <c r="E38" s="445">
        <f>IF(ISBLANK(INDEX(WORLDCUP!$AD$4:$AD$147,MATCH(A38,WORLDCUP!$AH$4:$AH$147,0))),"",INDEX(WORLDCUP!$AD$4:$AD$147,MATCH(A38,WORLDCUP!$AH$4:$AH$147,0)))</f>
        <v>0</v>
      </c>
      <c r="F38" s="446" t="str">
        <f ca="1">+MID(INDEX(WORLDCUP!$AF$4:$AF$147,MATCH(A38,WORLDCUP!$AH$4:$AH$147,0)),1,3)</f>
        <v>Cur</v>
      </c>
      <c r="G38" s="467">
        <v>3</v>
      </c>
      <c r="H38" s="468" t="str">
        <f ca="1">+MID(INDEX(WORLDCUP!$AL$6:$AL$97,MATCH(L38,WORLDCUP!$AI$6:$AI$97,0)),1,3)</f>
        <v>Ivo</v>
      </c>
      <c r="I38" s="38">
        <f ca="1">+INDEX(WORLDCUP!$AM$6:$AM$97,MATCH(L38,WORLDCUP!$AI$6:$AI$97,0))</f>
        <v>4</v>
      </c>
      <c r="J38" s="39">
        <f ca="1">+INDEX(WORLDCUP!$AT$6:$AT$97,MATCH(L38,WORLDCUP!$AI$6:$AI$97,0))</f>
        <v>1</v>
      </c>
      <c r="K38" s="43" t="str">
        <f ca="1">+INDEX(WORLDCUP!$AR$6:$AR$97,MATCH(L38,WORLDCUP!$AI$6:$AI$97,0))&amp;"-"&amp;INDEX(WORLDCUP!$AS$6:$AS$97,MATCH(L38,WORLDCUP!$AI$6:$AI$97,0))</f>
        <v>6-5</v>
      </c>
      <c r="L38" s="181" t="s">
        <v>104</v>
      </c>
      <c r="M38" s="181">
        <v>48</v>
      </c>
      <c r="N38" s="561"/>
      <c r="O38" s="444" t="str">
        <f ca="1">+MID(INDEX(WORLDCUP!$AA$4:$AA$147,MATCH(M38,WORLDCUP!$AH$4:$AH$147,0)),1,3)</f>
        <v>Col</v>
      </c>
      <c r="P38" s="445">
        <f>IF(ISBLANK(INDEX(WORLDCUP!$AC$4:$AC$147,MATCH(M38,WORLDCUP!$AH$4:$AH$147,0))),"",INDEX(WORLDCUP!$AC$4:$AC$147,MATCH(M38,WORLDCUP!$AH$4:$AH$147,0)))</f>
        <v>3</v>
      </c>
      <c r="Q38" s="445">
        <f>IF(ISBLANK(INDEX(WORLDCUP!$AD$4:$AD$147,MATCH(M38,WORLDCUP!$AH$4:$AH$147,0))),"",INDEX(WORLDCUP!$AD$4:$AD$147,MATCH(M38,WORLDCUP!$AH$4:$AH$147,0)))</f>
        <v>1</v>
      </c>
      <c r="R38" s="446" t="str">
        <f ca="1">+MID(INDEX(WORLDCUP!$AF$4:$AF$147,MATCH(M38,WORLDCUP!$AH$4:$AH$147,0)),1,3)</f>
        <v xml:space="preserve">DR </v>
      </c>
      <c r="S38" s="467">
        <v>3</v>
      </c>
      <c r="T38" s="468" t="str">
        <f ca="1">+MID(INDEX(WORLDCUP!$AL$6:$AL$97,MATCH(X38,WORLDCUP!$AI$6:$AI$97,0)),1,3)</f>
        <v xml:space="preserve">DR </v>
      </c>
      <c r="U38" s="38">
        <f ca="1">+INDEX(WORLDCUP!$AM$6:$AM$97,MATCH(X38,WORLDCUP!$AI$6:$AI$97,0))</f>
        <v>3</v>
      </c>
      <c r="V38" s="39">
        <f ca="1">+INDEX(WORLDCUP!$AT$6:$AT$97,MATCH(X38,WORLDCUP!$AI$6:$AI$97,0))</f>
        <v>-2</v>
      </c>
      <c r="W38" s="43" t="str">
        <f ca="1">+INDEX(WORLDCUP!$AR$6:$AR$97,MATCH(X38,WORLDCUP!$AI$6:$AI$97,0))&amp;"-"&amp;INDEX(WORLDCUP!$AS$6:$AS$97,MATCH(X38,WORLDCUP!$AI$6:$AI$97,0))</f>
        <v>4-6</v>
      </c>
      <c r="X38" s="181" t="s">
        <v>131</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Unit</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1</v>
      </c>
      <c r="BI38" s="463">
        <f ca="1">COUNTIF(Pool!$C$130:$C$161,Fixture!BG38)-BJ38-BK38-BL38-BM38-BN38-BO38</f>
        <v>0</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75" thickBot="1">
      <c r="A39" s="181">
        <v>55</v>
      </c>
      <c r="B39" s="560"/>
      <c r="C39" s="444" t="str">
        <f ca="1">+MID(INDEX(WORLDCUP!$AA$4:$AA$147,MATCH(A39,WORLDCUP!$AH$4:$AH$147,0)),1,3)</f>
        <v>Cur</v>
      </c>
      <c r="D39" s="445">
        <f>IF(ISBLANK(INDEX(WORLDCUP!$AC$4:$AC$147,MATCH(A39,WORLDCUP!$AH$4:$AH$147,0))),"",INDEX(WORLDCUP!$AC$4:$AC$147,MATCH(A39,WORLDCUP!$AH$4:$AH$147,0)))</f>
        <v>1</v>
      </c>
      <c r="E39" s="445">
        <f>IF(ISBLANK(INDEX(WORLDCUP!$AD$4:$AD$147,MATCH(A39,WORLDCUP!$AH$4:$AH$147,0))),"",INDEX(WORLDCUP!$AD$4:$AD$147,MATCH(A39,WORLDCUP!$AH$4:$AH$147,0)))</f>
        <v>3</v>
      </c>
      <c r="F39" s="446" t="str">
        <f ca="1">+MID(INDEX(WORLDCUP!$AF$4:$AF$147,MATCH(A39,WORLDCUP!$AH$4:$AH$147,0)),1,3)</f>
        <v>Ivo</v>
      </c>
      <c r="G39" s="467">
        <v>4</v>
      </c>
      <c r="H39" s="476" t="str">
        <f ca="1">+MID(INDEX(WORLDCUP!$AL$6:$AL$97,MATCH(L39,WORLDCUP!$AI$6:$AI$97,0)),1,3)</f>
        <v>Cur</v>
      </c>
      <c r="I39" s="477">
        <f ca="1">+INDEX(WORLDCUP!$AM$6:$AM$97,MATCH(L39,WORLDCUP!$AI$6:$AI$97,0))</f>
        <v>0</v>
      </c>
      <c r="J39" s="478">
        <f ca="1">+INDEX(WORLDCUP!$AT$6:$AT$97,MATCH(L39,WORLDCUP!$AI$6:$AI$97,0))</f>
        <v>-9</v>
      </c>
      <c r="K39" s="479" t="str">
        <f ca="1">+INDEX(WORLDCUP!$AR$6:$AR$97,MATCH(L39,WORLDCUP!$AI$6:$AI$97,0))&amp;"-"&amp;INDEX(WORLDCUP!$AS$6:$AS$97,MATCH(L39,WORLDCUP!$AI$6:$AI$97,0))</f>
        <v>1-10</v>
      </c>
      <c r="L39" s="181" t="s">
        <v>105</v>
      </c>
      <c r="M39" s="181">
        <v>71</v>
      </c>
      <c r="N39" s="561"/>
      <c r="O39" s="444" t="str">
        <f ca="1">+MID(INDEX(WORLDCUP!$AA$4:$AA$147,MATCH(M39,WORLDCUP!$AH$4:$AH$147,0)),1,3)</f>
        <v>Col</v>
      </c>
      <c r="P39" s="445">
        <f>IF(ISBLANK(INDEX(WORLDCUP!$AC$4:$AC$147,MATCH(M39,WORLDCUP!$AH$4:$AH$147,0))),"",INDEX(WORLDCUP!$AC$4:$AC$147,MATCH(M39,WORLDCUP!$AH$4:$AH$147,0)))</f>
        <v>2</v>
      </c>
      <c r="Q39" s="445">
        <f>IF(ISBLANK(INDEX(WORLDCUP!$AD$4:$AD$147,MATCH(M39,WORLDCUP!$AH$4:$AH$147,0))),"",INDEX(WORLDCUP!$AD$4:$AD$147,MATCH(M39,WORLDCUP!$AH$4:$AH$147,0)))</f>
        <v>2</v>
      </c>
      <c r="R39" s="446" t="str">
        <f ca="1">+MID(INDEX(WORLDCUP!$AF$4:$AF$147,MATCH(M39,WORLDCUP!$AH$4:$AH$147,0)),1,3)</f>
        <v>Por</v>
      </c>
      <c r="S39" s="467">
        <v>4</v>
      </c>
      <c r="T39" s="476" t="str">
        <f ca="1">+MID(INDEX(WORLDCUP!$AL$6:$AL$97,MATCH(X39,WORLDCUP!$AI$6:$AI$97,0)),1,3)</f>
        <v>Uzb</v>
      </c>
      <c r="U39" s="477">
        <f ca="1">+INDEX(WORLDCUP!$AM$6:$AM$97,MATCH(X39,WORLDCUP!$AI$6:$AI$97,0))</f>
        <v>0</v>
      </c>
      <c r="V39" s="478">
        <f ca="1">+INDEX(WORLDCUP!$AT$6:$AT$97,MATCH(X39,WORLDCUP!$AI$6:$AI$97,0))</f>
        <v>-7</v>
      </c>
      <c r="W39" s="479" t="str">
        <f ca="1">+INDEX(WORLDCUP!$AR$6:$AR$97,MATCH(X39,WORLDCUP!$AI$6:$AI$97,0))&amp;"-"&amp;INDEX(WORLDCUP!$AS$6:$AS$97,MATCH(X39,WORLDCUP!$AI$6:$AI$97,0))</f>
        <v>0-7</v>
      </c>
      <c r="X39" s="181" t="s">
        <v>132</v>
      </c>
      <c r="Y39" s="181">
        <v>86</v>
      </c>
      <c r="Z39" s="425" t="s">
        <v>124</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1</v>
      </c>
      <c r="BI39" s="463">
        <f ca="1">COUNTIF(Pool!$C$130:$C$161,Fixture!BG39)-BJ39-BK39-BL39-BM39-BN39-BO39</f>
        <v>0</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75" thickBot="1">
      <c r="A40" s="181">
        <v>56</v>
      </c>
      <c r="B40" s="563"/>
      <c r="C40" s="487" t="str">
        <f ca="1">+MID(INDEX(WORLDCUP!$AA$4:$AA$147,MATCH(A40,WORLDCUP!$AH$4:$AH$147,0)),1,3)</f>
        <v>Ecu</v>
      </c>
      <c r="D40" s="488">
        <f>IF(ISBLANK(INDEX(WORLDCUP!$AC$4:$AC$147,MATCH(A40,WORLDCUP!$AH$4:$AH$147,0))),"",INDEX(WORLDCUP!$AC$4:$AC$147,MATCH(A40,WORLDCUP!$AH$4:$AH$147,0)))</f>
        <v>2</v>
      </c>
      <c r="E40" s="488">
        <f>IF(ISBLANK(INDEX(WORLDCUP!$AD$4:$AD$147,MATCH(A40,WORLDCUP!$AH$4:$AH$147,0))),"",INDEX(WORLDCUP!$AD$4:$AD$147,MATCH(A40,WORLDCUP!$AH$4:$AH$147,0)))</f>
        <v>3</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2</v>
      </c>
      <c r="Q40" s="488">
        <f>IF(ISBLANK(INDEX(WORLDCUP!$AD$4:$AD$147,MATCH(M40,WORLDCUP!$AH$4:$AH$147,0))),"",INDEX(WORLDCUP!$AD$4:$AD$147,MATCH(M40,WORLDCUP!$AH$4:$AH$147,0)))</f>
        <v>0</v>
      </c>
      <c r="R40" s="489" t="str">
        <f ca="1">+MID(INDEX(WORLDCUP!$AF$4:$AF$147,MATCH(M40,WORLDCUP!$AH$4:$AH$147,0)),1,3)</f>
        <v>Uzb</v>
      </c>
      <c r="S40" s="490"/>
      <c r="T40" s="490"/>
      <c r="U40" s="491"/>
      <c r="V40" s="491"/>
      <c r="W40" s="492"/>
      <c r="X40" s="181"/>
      <c r="Y40" s="181">
        <v>86</v>
      </c>
      <c r="Z40" s="425" t="s">
        <v>116</v>
      </c>
      <c r="AA40" s="426" t="str">
        <f ca="1">+MID(INDEX(WORLDCUP!$AF$101:$AF$147,MATCH(Y40,WORLDCUP!$Z$101:$Z$147,0)),1,3)</f>
        <v>Uru</v>
      </c>
      <c r="AB40" s="453">
        <f>+IF(ISBLANK(INDEX(WORLDCUP!$AD$101:$AD$147,MATCH(Y40,WORLDCUP!$Z$101:$Z$147,0))),"",INDEX(WORLDCUP!$AD$101:$AD$147,MATCH(Y40,WORLDCUP!$Z$101:$Z$147,0)))</f>
        <v>1</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0</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Uni</v>
      </c>
      <c r="AF41" s="457">
        <f>+IF(ISBLANK(INDEX(WORLDCUP!$AD$101:$AD$147,MATCH(AD41,WORLDCUP!$Z$101:$Z$147,0))),"",INDEX(WORLDCUP!$AD$101:$AD$147,MATCH(AD41,WORLDCUP!$Z$101:$Z$147,0)))</f>
        <v>1</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0</v>
      </c>
      <c r="BI41" s="463">
        <f ca="1">COUNTIF(Pool!$C$130:$C$161,Fixture!BG41)-BJ41-BK41-BL41-BM41-BN41-BO41</f>
        <v>0</v>
      </c>
      <c r="BJ41" s="464">
        <f ca="1">COUNTIF(Pool!$C$182:$C$197,Fixture!BG41)-BK41-BL41-BM41-BN41-BO41</f>
        <v>1</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7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98</v>
      </c>
      <c r="AA42" s="426" t="str">
        <f ca="1">+MID(INDEX(WORLDCUP!$AA$101:$AA$147,MATCH(Y42,WORLDCUP!$Z$101:$Z$147,0)),1,3)</f>
        <v>Uni</v>
      </c>
      <c r="AB42" s="472">
        <f>+IF(ISBLANK(INDEX(WORLDCUP!$AC$101:$AC$147,MATCH(Y42,WORLDCUP!$Z$101:$Z$147,0))),"",INDEX(WORLDCUP!$AC$101:$AC$147,MATCH(Y42,WORLDCUP!$Z$101:$Z$147,0)))</f>
        <v>3</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1</v>
      </c>
      <c r="BI42" s="463">
        <f ca="1">COUNTIF(Pool!$C$130:$C$161,Fixture!BG42)-BJ42-BK42-BL42-BM42-BN42-BO42</f>
        <v>0</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75" thickBot="1">
      <c r="A43" s="181">
        <v>11</v>
      </c>
      <c r="B43" s="565" t="s">
        <v>126</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0</v>
      </c>
      <c r="F43" s="419" t="str">
        <f ca="1">+MID(INDEX(WORLDCUP!$AF$4:$AF$147,MATCH(A43,WORLDCUP!$AH$4:$AH$147,0)),1,3)</f>
        <v>Jap</v>
      </c>
      <c r="G43" s="420"/>
      <c r="H43" s="421" t="str">
        <f>+H35</f>
        <v>Nat</v>
      </c>
      <c r="I43" s="422" t="str">
        <f>+I35</f>
        <v>Pts</v>
      </c>
      <c r="J43" s="422" t="str">
        <f>+J35</f>
        <v>GD</v>
      </c>
      <c r="K43" s="423" t="str">
        <f>+K35</f>
        <v>F-A</v>
      </c>
      <c r="L43" s="181"/>
      <c r="M43" s="181">
        <v>22</v>
      </c>
      <c r="N43" s="566" t="s">
        <v>144</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112</v>
      </c>
      <c r="AA43" s="480" t="str">
        <f ca="1">+MID(INDEX(WORLDCUP!$AF$101:$AF$147,MATCH(Y43,WORLDCUP!$Z$101:$Z$147,0)),1,3)</f>
        <v>New</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Uni</v>
      </c>
      <c r="AJ43" s="484">
        <f>+IF(ISBLANK(INDEX(WORLDCUP!$AC$101:$AC$147,MATCH(AH43,WORLDCUP!$Z$101:$Z$147,0))),"",INDEX(WORLDCUP!$AC$101:$AC$147,MATCH(AH43,WORLDCUP!$Z$101:$Z$147,0)))</f>
        <v>1</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1</v>
      </c>
      <c r="BJ43" s="464">
        <f ca="1">COUNTIF(Pool!$C$182:$C$197,Fixture!BG43)-BK43-BL43-BM43-BN43-BO43</f>
        <v>0</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1</v>
      </c>
      <c r="F44" s="446" t="str">
        <f ca="1">+MID(INDEX(WORLDCUP!$AF$4:$AF$147,MATCH(A44,WORLDCUP!$AH$4:$AH$147,0)),1,3)</f>
        <v>Tun</v>
      </c>
      <c r="G44" s="447">
        <v>1</v>
      </c>
      <c r="H44" s="448" t="str">
        <f ca="1">+MID(INDEX(WORLDCUP!$AL$6:$AL$97,MATCH(L44,WORLDCUP!$AI$6:$AI$97,0)),1,3)</f>
        <v>Swe</v>
      </c>
      <c r="I44" s="449">
        <f ca="1">+INDEX(WORLDCUP!$AM$6:$AM$97,MATCH(L44,WORLDCUP!$AI$6:$AI$97,0))</f>
        <v>9</v>
      </c>
      <c r="J44" s="450">
        <f ca="1">+INDEX(WORLDCUP!$AT$6:$AT$97,MATCH(L44,WORLDCUP!$AI$6:$AI$97,0))</f>
        <v>4</v>
      </c>
      <c r="K44" s="451" t="str">
        <f ca="1">+INDEX(WORLDCUP!$AR$6:$AR$97,MATCH(L44,WORLDCUP!$AI$6:$AI$97,0))&amp;"-"&amp;INDEX(WORLDCUP!$AS$6:$AS$97,MATCH(L44,WORLDCUP!$AI$6:$AI$97,0))</f>
        <v>7-3</v>
      </c>
      <c r="L44" s="181" t="s">
        <v>106</v>
      </c>
      <c r="M44" s="181">
        <v>21</v>
      </c>
      <c r="N44" s="568"/>
      <c r="O44" s="444" t="str">
        <f ca="1">+MID(INDEX(WORLDCUP!$AA$4:$AA$147,MATCH(M44,WORLDCUP!$AH$4:$AH$147,0)),1,3)</f>
        <v>Gha</v>
      </c>
      <c r="P44" s="445">
        <f>IF(ISBLANK(INDEX(WORLDCUP!$AC$4:$AC$147,MATCH(M44,WORLDCUP!$AH$4:$AH$147,0))),"",INDEX(WORLDCUP!$AC$4:$AC$147,MATCH(M44,WORLDCUP!$AH$4:$AH$147,0)))</f>
        <v>3</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3</v>
      </c>
      <c r="W44" s="451" t="str">
        <f ca="1">+INDEX(WORLDCUP!$AR$6:$AR$97,MATCH(X44,WORLDCUP!$AI$6:$AI$97,0))&amp;"-"&amp;INDEX(WORLDCUP!$AS$6:$AS$97,MATCH(X44,WORLDCUP!$AI$6:$AI$97,0))</f>
        <v>6-3</v>
      </c>
      <c r="X44" s="181" t="s">
        <v>133</v>
      </c>
      <c r="Y44" s="181"/>
      <c r="Z44" s="425"/>
      <c r="AA44" s="494"/>
      <c r="AB44" s="494"/>
      <c r="AC44" s="494"/>
      <c r="AD44" s="181"/>
      <c r="AE44" s="429"/>
      <c r="AF44" s="429"/>
      <c r="AG44" s="475"/>
      <c r="AH44" s="181">
        <v>100</v>
      </c>
      <c r="AI44" s="483" t="str">
        <f ca="1">+MID(INDEX(WORLDCUP!$AF$101:$AF$147,MATCH(AH44,WORLDCUP!$Z$101:$Z$147,0)),1,3)</f>
        <v>Por</v>
      </c>
      <c r="AJ44" s="484">
        <f>+IF(ISBLANK(INDEX(WORLDCUP!$AD$101:$AD$147,MATCH(AH44,WORLDCUP!$Z$101:$Z$147,0))),"",INDEX(WORLDCUP!$AD$101:$AD$147,MATCH(AH44,WORLDCUP!$Z$101:$Z$147,0)))</f>
        <v>0</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1</v>
      </c>
      <c r="BM44" s="463">
        <f ca="1">COUNTIF(Pool!$C$252,Fixture!BG44)</f>
        <v>0</v>
      </c>
      <c r="BN44" s="463">
        <f ca="1">COUNTIF(Pool!$C$251,Fixture!BG44)</f>
        <v>0</v>
      </c>
      <c r="BO44" s="466">
        <f ca="1">COUNTIF(Pool!$C$250,Fixture!BG44)</f>
        <v>0</v>
      </c>
    </row>
    <row r="45" spans="1:67" ht="15.75" thickBot="1">
      <c r="A45" s="181">
        <v>35</v>
      </c>
      <c r="B45" s="567"/>
      <c r="C45" s="444" t="str">
        <f ca="1">+MID(INDEX(WORLDCUP!$AA$4:$AA$147,MATCH(A45,WORLDCUP!$AH$4:$AH$147,0)),1,3)</f>
        <v>Net</v>
      </c>
      <c r="D45" s="445">
        <f>IF(ISBLANK(INDEX(WORLDCUP!$AC$4:$AC$147,MATCH(A45,WORLDCUP!$AH$4:$AH$147,0))),"",INDEX(WORLDCUP!$AC$4:$AC$147,MATCH(A45,WORLDCUP!$AH$4:$AH$147,0)))</f>
        <v>1</v>
      </c>
      <c r="E45" s="445">
        <f>IF(ISBLANK(INDEX(WORLDCUP!$AD$4:$AD$147,MATCH(A45,WORLDCUP!$AH$4:$AH$147,0))),"",INDEX(WORLDCUP!$AD$4:$AD$147,MATCH(A45,WORLDCUP!$AH$4:$AH$147,0)))</f>
        <v>2</v>
      </c>
      <c r="F45" s="446" t="str">
        <f ca="1">+MID(INDEX(WORLDCUP!$AF$4:$AF$147,MATCH(A45,WORLDCUP!$AH$4:$AH$147,0)),1,3)</f>
        <v>Swe</v>
      </c>
      <c r="G45" s="467">
        <v>2</v>
      </c>
      <c r="H45" s="468" t="str">
        <f ca="1">+MID(INDEX(WORLDCUP!$AL$6:$AL$97,MATCH(L45,WORLDCUP!$AI$6:$AI$97,0)),1,3)</f>
        <v>Net</v>
      </c>
      <c r="I45" s="38">
        <f ca="1">+INDEX(WORLDCUP!$AM$6:$AM$97,MATCH(L45,WORLDCUP!$AI$6:$AI$97,0))</f>
        <v>6</v>
      </c>
      <c r="J45" s="39">
        <f ca="1">+INDEX(WORLDCUP!$AT$6:$AT$97,MATCH(L45,WORLDCUP!$AI$6:$AI$97,0))</f>
        <v>2</v>
      </c>
      <c r="K45" s="43" t="str">
        <f ca="1">+INDEX(WORLDCUP!$AR$6:$AR$97,MATCH(L45,WORLDCUP!$AI$6:$AI$97,0))&amp;"-"&amp;INDEX(WORLDCUP!$AS$6:$AS$97,MATCH(L45,WORLDCUP!$AI$6:$AI$97,0))</f>
        <v>5-3</v>
      </c>
      <c r="L45" s="181" t="s">
        <v>107</v>
      </c>
      <c r="M45" s="181">
        <v>45</v>
      </c>
      <c r="N45" s="568"/>
      <c r="O45" s="444" t="str">
        <f ca="1">+MID(INDEX(WORLDCUP!$AA$4:$AA$147,MATCH(M45,WORLDCUP!$AH$4:$AH$147,0)),1,3)</f>
        <v>Eng</v>
      </c>
      <c r="P45" s="445">
        <f>IF(ISBLANK(INDEX(WORLDCUP!$AC$4:$AC$147,MATCH(M45,WORLDCUP!$AH$4:$AH$147,0))),"",INDEX(WORLDCUP!$AC$4:$AC$147,MATCH(M45,WORLDCUP!$AH$4:$AH$147,0)))</f>
        <v>2</v>
      </c>
      <c r="Q45" s="445">
        <f>IF(ISBLANK(INDEX(WORLDCUP!$AD$4:$AD$147,MATCH(M45,WORLDCUP!$AH$4:$AH$147,0))),"",INDEX(WORLDCUP!$AD$4:$AD$147,MATCH(M45,WORLDCUP!$AH$4:$AH$147,0)))</f>
        <v>1</v>
      </c>
      <c r="R45" s="446" t="str">
        <f ca="1">+MID(INDEX(WORLDCUP!$AF$4:$AF$147,MATCH(M45,WORLDCUP!$AH$4:$AH$147,0)),1,3)</f>
        <v>Gha</v>
      </c>
      <c r="S45" s="467">
        <v>2</v>
      </c>
      <c r="T45" s="468" t="str">
        <f ca="1">+MID(INDEX(WORLDCUP!$AL$6:$AL$97,MATCH(X45,WORLDCUP!$AI$6:$AI$97,0)),1,3)</f>
        <v>Gha</v>
      </c>
      <c r="U45" s="38">
        <f ca="1">+INDEX(WORLDCUP!$AM$6:$AM$97,MATCH(X45,WORLDCUP!$AI$6:$AI$97,0))</f>
        <v>6</v>
      </c>
      <c r="V45" s="39">
        <f ca="1">+INDEX(WORLDCUP!$AT$6:$AT$97,MATCH(X45,WORLDCUP!$AI$6:$AI$97,0))</f>
        <v>2</v>
      </c>
      <c r="W45" s="43" t="str">
        <f ca="1">+INDEX(WORLDCUP!$AR$6:$AR$97,MATCH(X45,WORLDCUP!$AI$6:$AI$97,0))&amp;"-"&amp;INDEX(WORLDCUP!$AS$6:$AS$97,MATCH(X45,WORLDCUP!$AI$6:$AI$97,0))</f>
        <v>7-5</v>
      </c>
      <c r="X45" s="181" t="s">
        <v>134</v>
      </c>
      <c r="Y45" s="181">
        <v>85</v>
      </c>
      <c r="Z45" s="425" t="s">
        <v>88</v>
      </c>
      <c r="AA45" s="426" t="str">
        <f ca="1">+MID(INDEX(WORLDCUP!$AA$101:$AA$147,MATCH(Y45,WORLDCUP!$Z$101:$Z$147,0)),1,3)</f>
        <v>Can</v>
      </c>
      <c r="AB45" s="427">
        <f>+IF(ISBLANK(INDEX(WORLDCUP!$AC$101:$AC$147,MATCH(Y45,WORLDCUP!$Z$101:$Z$147,0))),"",INDEX(WORLDCUP!$AC$101:$AC$147,MATCH(Y45,WORLDCUP!$Z$101:$Z$147,0)))</f>
        <v>2</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75" thickBot="1">
      <c r="A46" s="181">
        <v>36</v>
      </c>
      <c r="B46" s="567"/>
      <c r="C46" s="444" t="str">
        <f ca="1">+MID(INDEX(WORLDCUP!$AA$4:$AA$147,MATCH(A46,WORLDCUP!$AH$4:$AH$147,0)),1,3)</f>
        <v>Tun</v>
      </c>
      <c r="D46" s="445">
        <f>IF(ISBLANK(INDEX(WORLDCUP!$AC$4:$AC$147,MATCH(A46,WORLDCUP!$AH$4:$AH$147,0))),"",INDEX(WORLDCUP!$AC$4:$AC$147,MATCH(A46,WORLDCUP!$AH$4:$AH$147,0)))</f>
        <v>1</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Tun</v>
      </c>
      <c r="I46" s="38">
        <f ca="1">+INDEX(WORLDCUP!$AM$6:$AM$97,MATCH(L46,WORLDCUP!$AI$6:$AI$97,0))</f>
        <v>1</v>
      </c>
      <c r="J46" s="39">
        <f ca="1">+INDEX(WORLDCUP!$AT$6:$AT$97,MATCH(L46,WORLDCUP!$AI$6:$AI$97,0))</f>
        <v>-2</v>
      </c>
      <c r="K46" s="43" t="str">
        <f ca="1">+INDEX(WORLDCUP!$AR$6:$AR$97,MATCH(L46,WORLDCUP!$AI$6:$AI$97,0))&amp;"-"&amp;INDEX(WORLDCUP!$AS$6:$AS$97,MATCH(L46,WORLDCUP!$AI$6:$AI$97,0))</f>
        <v>3-5</v>
      </c>
      <c r="L46" s="181" t="s">
        <v>109</v>
      </c>
      <c r="M46" s="181">
        <v>46</v>
      </c>
      <c r="N46" s="568"/>
      <c r="O46" s="444" t="str">
        <f ca="1">+MID(INDEX(WORLDCUP!$AA$4:$AA$147,MATCH(M46,WORLDCUP!$AH$4:$AH$147,0)),1,3)</f>
        <v>Pan</v>
      </c>
      <c r="P46" s="445">
        <f>IF(ISBLANK(INDEX(WORLDCUP!$AC$4:$AC$147,MATCH(M46,WORLDCUP!$AH$4:$AH$147,0))),"",INDEX(WORLDCUP!$AC$4:$AC$147,MATCH(M46,WORLDCUP!$AH$4:$AH$147,0)))</f>
        <v>1</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Cro</v>
      </c>
      <c r="U46" s="38">
        <f ca="1">+INDEX(WORLDCUP!$AM$6:$AM$97,MATCH(X46,WORLDCUP!$AI$6:$AI$97,0))</f>
        <v>3</v>
      </c>
      <c r="V46" s="39">
        <f ca="1">+INDEX(WORLDCUP!$AT$6:$AT$97,MATCH(X46,WORLDCUP!$AI$6:$AI$97,0))</f>
        <v>-1</v>
      </c>
      <c r="W46" s="43" t="str">
        <f ca="1">+INDEX(WORLDCUP!$AR$6:$AR$97,MATCH(X46,WORLDCUP!$AI$6:$AI$97,0))&amp;"-"&amp;INDEX(WORLDCUP!$AS$6:$AS$97,MATCH(X46,WORLDCUP!$AI$6:$AI$97,0))</f>
        <v>5-6</v>
      </c>
      <c r="X46" s="181" t="s">
        <v>136</v>
      </c>
      <c r="Y46" s="181">
        <v>85</v>
      </c>
      <c r="Z46" s="425" t="s">
        <v>177</v>
      </c>
      <c r="AA46" s="426" t="str">
        <f ca="1">+MID(INDEX(WORLDCUP!$AF$101:$AF$147,MATCH(Y46,WORLDCUP!$Z$101:$Z$147,0)),1,IF(WORLDCUP!$H$113&lt;144,6,3))</f>
        <v>Egy</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Can</v>
      </c>
      <c r="AF46" s="457">
        <f>+IF(ISBLANK(INDEX(WORLDCUP!$AC$101:$AC$147,MATCH(AD46,WORLDCUP!$Z$101:$Z$147,0))),"",INDEX(WORLDCUP!$AC$101:$AC$147,MATCH(AD46,WORLDCUP!$Z$101:$Z$147,0)))</f>
        <v>0</v>
      </c>
      <c r="AG46" s="501" t="str">
        <f>+IF(ISBLANK(INDEX(WORLDCUP!$AB$101:$AB$147,MATCH(AD46,WORLDCUP!$Z$101:$Z$147,0))),"","( "&amp;INDEX(WORLDCUP!$AB$101:$AB$147,MATCH(AD46,WORLDCUP!$Z$101:$Z$147,0))&amp;" )")</f>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1</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1</v>
      </c>
      <c r="E47" s="445">
        <f>IF(ISBLANK(INDEX(WORLDCUP!$AD$4:$AD$147,MATCH(A47,WORLDCUP!$AH$4:$AH$147,0))),"",INDEX(WORLDCUP!$AD$4:$AD$147,MATCH(A47,WORLDCUP!$AH$4:$AH$147,0)))</f>
        <v>3</v>
      </c>
      <c r="F47" s="446" t="str">
        <f ca="1">+MID(INDEX(WORLDCUP!$AF$4:$AF$147,MATCH(A47,WORLDCUP!$AH$4:$AH$147,0)),1,3)</f>
        <v>Swe</v>
      </c>
      <c r="G47" s="467">
        <v>4</v>
      </c>
      <c r="H47" s="476" t="str">
        <f ca="1">+MID(INDEX(WORLDCUP!$AL$6:$AL$97,MATCH(L47,WORLDCUP!$AI$6:$AI$97,0)),1,3)</f>
        <v>Jap</v>
      </c>
      <c r="I47" s="477">
        <f ca="1">+INDEX(WORLDCUP!$AM$6:$AM$97,MATCH(L47,WORLDCUP!$AI$6:$AI$97,0))</f>
        <v>1</v>
      </c>
      <c r="J47" s="478">
        <f ca="1">+INDEX(WORLDCUP!$AT$6:$AT$97,MATCH(L47,WORLDCUP!$AI$6:$AI$97,0))</f>
        <v>-4</v>
      </c>
      <c r="K47" s="479" t="str">
        <f ca="1">+INDEX(WORLDCUP!$AR$6:$AR$97,MATCH(L47,WORLDCUP!$AI$6:$AI$97,0))&amp;"-"&amp;INDEX(WORLDCUP!$AS$6:$AS$97,MATCH(L47,WORLDCUP!$AI$6:$AI$97,0))</f>
        <v>2-6</v>
      </c>
      <c r="L47" s="181" t="s">
        <v>110</v>
      </c>
      <c r="M47" s="181">
        <v>67</v>
      </c>
      <c r="N47" s="568"/>
      <c r="O47" s="444" t="str">
        <f ca="1">+MID(INDEX(WORLDCUP!$AA$4:$AA$147,MATCH(M47,WORLDCUP!$AH$4:$AH$147,0)),1,3)</f>
        <v>Pan</v>
      </c>
      <c r="P47" s="445">
        <f>IF(ISBLANK(INDEX(WORLDCUP!$AC$4:$AC$147,MATCH(M47,WORLDCUP!$AH$4:$AH$147,0))),"",INDEX(WORLDCUP!$AC$4:$AC$147,MATCH(M47,WORLDCUP!$AH$4:$AH$147,0)))</f>
        <v>1</v>
      </c>
      <c r="Q47" s="445">
        <f>IF(ISBLANK(INDEX(WORLDCUP!$AD$4:$AD$147,MATCH(M47,WORLDCUP!$AH$4:$AH$147,0))),"",INDEX(WORLDCUP!$AD$4:$AD$147,MATCH(M47,WORLDCUP!$AH$4:$AH$147,0)))</f>
        <v>2</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-4</v>
      </c>
      <c r="W47" s="479" t="str">
        <f ca="1">+INDEX(WORLDCUP!$AR$6:$AR$97,MATCH(X47,WORLDCUP!$AI$6:$AI$97,0))&amp;"-"&amp;INDEX(WORLDCUP!$AS$6:$AS$97,MATCH(X47,WORLDCUP!$AI$6:$AI$97,0))</f>
        <v>3-7</v>
      </c>
      <c r="X47" s="181" t="s">
        <v>137</v>
      </c>
      <c r="Y47" s="181"/>
      <c r="Z47" s="425"/>
      <c r="AA47" s="469"/>
      <c r="AB47" s="469"/>
      <c r="AC47" s="470"/>
      <c r="AD47" s="181">
        <v>96</v>
      </c>
      <c r="AE47" s="456" t="str">
        <f ca="1">+MID(INDEX(WORLDCUP!$AF$101:$AF$147,MATCH(AD47,WORLDCUP!$Z$101:$Z$147,0)),1,3)</f>
        <v>Por</v>
      </c>
      <c r="AF47" s="457">
        <f>+IF(ISBLANK(INDEX(WORLDCUP!$AD$101:$AD$147,MATCH(AD47,WORLDCUP!$Z$101:$Z$147,0))),"",INDEX(WORLDCUP!$AD$101:$AD$147,MATCH(AD47,WORLDCUP!$Z$101:$Z$147,0)))</f>
        <v>1</v>
      </c>
      <c r="AG47" s="474" t="str">
        <f>+IF(ISBLANK(INDEX(WORLDCUP!$AE$101:$AE$147,MATCH(AD47,WORLDCUP!$Z$101:$Z$147,0))),"","( "&amp;INDEX(WORLDCUP!$AE$101:$AE$147,MATCH(AD47,WORLDCUP!$Z$101:$Z$147,0))&amp;" )")</f>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75" thickBot="1">
      <c r="A48" s="181">
        <v>58</v>
      </c>
      <c r="B48" s="569"/>
      <c r="C48" s="487" t="str">
        <f ca="1">+MID(INDEX(WORLDCUP!$AA$4:$AA$147,MATCH(A48,WORLDCUP!$AH$4:$AH$147,0)),1,3)</f>
        <v>Tun</v>
      </c>
      <c r="D48" s="488">
        <f>IF(ISBLANK(INDEX(WORLDCUP!$AC$4:$AC$147,MATCH(A48,WORLDCUP!$AH$4:$AH$147,0))),"",INDEX(WORLDCUP!$AC$4:$AC$147,MATCH(A48,WORLDCUP!$AH$4:$AH$147,0)))</f>
        <v>1</v>
      </c>
      <c r="E48" s="488">
        <f>IF(ISBLANK(INDEX(WORLDCUP!$AD$4:$AD$147,MATCH(A48,WORLDCUP!$AH$4:$AH$147,0))),"",INDEX(WORLDCUP!$AD$4:$AD$147,MATCH(A48,WORLDCUP!$AH$4:$AH$147,0)))</f>
        <v>2</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2</v>
      </c>
      <c r="Q48" s="488">
        <f>IF(ISBLANK(INDEX(WORLDCUP!$AD$4:$AD$147,MATCH(M48,WORLDCUP!$AH$4:$AH$147,0))),"",INDEX(WORLDCUP!$AD$4:$AD$147,MATCH(M48,WORLDCUP!$AH$4:$AH$147,0)))</f>
        <v>3</v>
      </c>
      <c r="R48" s="489" t="str">
        <f ca="1">+MID(INDEX(WORLDCUP!$AF$4:$AF$147,MATCH(M48,WORLDCUP!$AH$4:$AH$147,0)),1,3)</f>
        <v>Gha</v>
      </c>
      <c r="S48" s="490"/>
      <c r="T48" s="490"/>
      <c r="U48" s="491"/>
      <c r="V48" s="491"/>
      <c r="W48" s="492"/>
      <c r="X48" s="181"/>
      <c r="Y48" s="181">
        <v>87</v>
      </c>
      <c r="Z48" s="425" t="s">
        <v>129</v>
      </c>
      <c r="AA48" s="426" t="str">
        <f ca="1">+MID(INDEX(WORLDCUP!$AA$101:$AA$147,MATCH(Y48,WORLDCUP!$Z$101:$Z$147,0)),1,3)</f>
        <v>Por</v>
      </c>
      <c r="AB48" s="472">
        <f>+IF(ISBLANK(INDEX(WORLDCUP!$AC$101:$AC$147,MATCH(Y48,WORLDCUP!$Z$101:$Z$147,0))),"",INDEX(WORLDCUP!$AC$101:$AC$147,MATCH(Y48,WORLDCUP!$Z$101:$Z$147,0)))</f>
        <v>3</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0</v>
      </c>
      <c r="BK48" s="465">
        <f ca="1">COUNTIF(Pool!$C$210:$C$217,Fixture!BG48)-BL48-BM48-BN48-BO48</f>
        <v>1</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180</v>
      </c>
      <c r="AA49" s="480" t="str">
        <f ca="1">+MID(INDEX(WORLDCUP!$AF$101:$AF$147,MATCH(Y49,WORLDCUP!$Z$101:$Z$147,0)),1,IF(WORLDCUP!$H$113&lt;144,6,3))</f>
        <v>Cro</v>
      </c>
      <c r="AB49" s="481">
        <f>+IF(ISBLANK(INDEX(WORLDCUP!$AD$101:$AD$147,MATCH(Y49,WORLDCUP!$Z$101:$Z$147,0))),"",INDEX(WORLDCUP!$AD$101:$AD$147,MATCH(Y49,WORLDCUP!$Z$101:$Z$147,0)))</f>
        <v>2</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0</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1</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0</v>
      </c>
      <c r="BI50" s="463">
        <f ca="1">COUNTIF(Pool!$C$130:$C$161,Fixture!BG50)-BJ50-BK50-BL50-BM50-BN50-BO50</f>
        <v>1</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9" priority="1">
      <formula>$BH4=1</formula>
    </cfRule>
  </conditionalFormatting>
  <conditionalFormatting sqref="BH4:BI51">
    <cfRule type="expression" dxfId="18" priority="2">
      <formula>$BI4=1</formula>
    </cfRule>
  </conditionalFormatting>
  <conditionalFormatting sqref="BH4:BJ51">
    <cfRule type="expression" dxfId="17" priority="3">
      <formula>$BJ4=1</formula>
    </cfRule>
  </conditionalFormatting>
  <conditionalFormatting sqref="BH4:BK51">
    <cfRule type="expression" dxfId="16" priority="4">
      <formula>$BK4=1</formula>
    </cfRule>
  </conditionalFormatting>
  <conditionalFormatting sqref="BH4:BL51">
    <cfRule type="expression" dxfId="15" priority="5">
      <formula>$BL4=1</formula>
    </cfRule>
  </conditionalFormatting>
  <conditionalFormatting sqref="BH4:BM51">
    <cfRule type="expression" dxfId="14" priority="6">
      <formula>$BM4=1</formula>
    </cfRule>
  </conditionalFormatting>
  <conditionalFormatting sqref="BH4:BN51">
    <cfRule type="expression" dxfId="13" priority="7">
      <formula>$BN4=1</formula>
    </cfRule>
  </conditionalFormatting>
  <conditionalFormatting sqref="BH4:BO51">
    <cfRule type="expression" dxfId="12"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5546875" defaultRowHeight="15"/>
  <cols>
    <col min="1" max="3" width="10.85546875" style="16"/>
    <col min="4" max="4" width="17.28515625" style="16" bestFit="1" customWidth="1"/>
    <col min="5" max="6" width="10.85546875" style="16"/>
    <col min="7" max="7" width="17.28515625" style="16" bestFit="1" customWidth="1"/>
    <col min="8" max="8" width="13" style="16" customWidth="1"/>
    <col min="9" max="9" width="10.85546875" style="16"/>
    <col min="10" max="10" width="13" style="16" bestFit="1" customWidth="1"/>
    <col min="11" max="12" width="12.28515625" style="16" bestFit="1" customWidth="1"/>
    <col min="13" max="16384" width="10.85546875" style="16"/>
  </cols>
  <sheetData>
    <row r="2" spans="1:12">
      <c r="A2" s="16" t="s">
        <v>284</v>
      </c>
      <c r="B2" s="16">
        <f>IF(Home!$C$6=Idiomas!A2,1,0)</f>
        <v>0</v>
      </c>
    </row>
    <row r="3" spans="1:12">
      <c r="A3" s="16" t="s">
        <v>0</v>
      </c>
      <c r="B3" s="16">
        <f>IF(Home!$C$6=Idiomas!A3,1,0)</f>
        <v>1</v>
      </c>
      <c r="E3" s="16" t="s">
        <v>285</v>
      </c>
      <c r="F3" s="16" t="s">
        <v>286</v>
      </c>
      <c r="G3" s="16" t="s">
        <v>284</v>
      </c>
      <c r="H3" s="16" t="s">
        <v>287</v>
      </c>
    </row>
    <row r="4" spans="1:12">
      <c r="D4" s="16" t="str">
        <f>IF($B$2,G4,H4)</f>
        <v>Introduce Results</v>
      </c>
      <c r="E4" s="16" t="s">
        <v>288</v>
      </c>
      <c r="F4" s="16" t="s">
        <v>289</v>
      </c>
      <c r="G4" s="16" t="s">
        <v>290</v>
      </c>
      <c r="H4" s="16" t="s">
        <v>291</v>
      </c>
    </row>
    <row r="5" spans="1:12">
      <c r="B5" s="606"/>
      <c r="D5" s="16" t="str">
        <f t="shared" ref="D5:D12" si="0">IF($B$2,G5,H5)</f>
        <v>If you want to organize a pool (betting game) with your group, you can download the administrator file from the link below.</v>
      </c>
      <c r="E5" s="16" t="s">
        <v>288</v>
      </c>
      <c r="F5" s="16" t="s">
        <v>292</v>
      </c>
      <c r="G5" s="16" t="s">
        <v>293</v>
      </c>
      <c r="H5" s="16" t="s">
        <v>294</v>
      </c>
      <c r="K5" s="582" t="s">
        <v>295</v>
      </c>
      <c r="L5" s="582" t="s">
        <v>296</v>
      </c>
    </row>
    <row r="6" spans="1:12">
      <c r="B6" s="606"/>
      <c r="D6" s="16" t="str">
        <f t="shared" si="0"/>
        <v>Team Predictor</v>
      </c>
      <c r="E6" s="16" t="s">
        <v>288</v>
      </c>
      <c r="G6" s="582" t="s">
        <v>297</v>
      </c>
      <c r="H6" s="582" t="s">
        <v>298</v>
      </c>
    </row>
    <row r="7" spans="1:12">
      <c r="D7" s="16" t="str">
        <f t="shared" si="0"/>
        <v>Select languaje</v>
      </c>
      <c r="E7" s="16" t="s">
        <v>288</v>
      </c>
      <c r="F7" s="16" t="s">
        <v>299</v>
      </c>
      <c r="G7" s="16" t="s">
        <v>300</v>
      </c>
      <c r="H7" s="16" t="s">
        <v>301</v>
      </c>
    </row>
    <row r="8" spans="1:12">
      <c r="D8" s="16" t="str">
        <f t="shared" si="0"/>
        <v>XXIII World Cup USA/MEX/CAN 2026</v>
      </c>
      <c r="E8" s="16" t="s">
        <v>288</v>
      </c>
      <c r="F8" s="16" t="s">
        <v>302</v>
      </c>
      <c r="G8" s="16" t="s">
        <v>303</v>
      </c>
      <c r="H8" s="16" t="s">
        <v>304</v>
      </c>
    </row>
    <row r="9" spans="1:12">
      <c r="D9" s="16" t="str">
        <f t="shared" si="0"/>
        <v>▼ Download Administrator Excel File ▼</v>
      </c>
      <c r="E9" s="16" t="s">
        <v>288</v>
      </c>
      <c r="F9" s="16" t="s">
        <v>305</v>
      </c>
      <c r="G9" s="16" t="s">
        <v>306</v>
      </c>
      <c r="H9" s="16" t="s">
        <v>307</v>
      </c>
    </row>
    <row r="10" spans="1:12">
      <c r="D10" s="16" t="str">
        <f t="shared" si="0"/>
        <v>https://matejero.com/download/admin-world-cup-2026/</v>
      </c>
      <c r="E10" s="16" t="s">
        <v>288</v>
      </c>
      <c r="F10" s="16" t="s">
        <v>308</v>
      </c>
      <c r="G10" s="16" t="s">
        <v>309</v>
      </c>
      <c r="H10" s="16" t="s">
        <v>310</v>
      </c>
    </row>
    <row r="11" spans="1:12">
      <c r="D11" s="16" t="str">
        <f>IF($B$2,G11,H11)</f>
        <v>*Beta version until all participants are known in March 2026</v>
      </c>
      <c r="E11" s="16" t="s">
        <v>288</v>
      </c>
      <c r="G11" s="16" t="s">
        <v>311</v>
      </c>
      <c r="H11" s="16" t="s">
        <v>312</v>
      </c>
    </row>
    <row r="12" spans="1:12">
      <c r="D12" s="16" t="str">
        <f t="shared" si="0"/>
        <v>Donate</v>
      </c>
      <c r="E12" s="16" t="s">
        <v>288</v>
      </c>
      <c r="G12" s="16" t="s">
        <v>313</v>
      </c>
      <c r="H12" s="16" t="s">
        <v>314</v>
      </c>
    </row>
    <row r="14" spans="1:12">
      <c r="B14" s="606"/>
    </row>
    <row r="15" spans="1:12">
      <c r="D15" s="16" t="str">
        <f t="shared" ref="D15:D66" si="1">IF($B$2,G15,H15)</f>
        <v>Select timetable</v>
      </c>
      <c r="E15" s="16" t="s">
        <v>315</v>
      </c>
      <c r="F15" s="16" t="s">
        <v>247</v>
      </c>
      <c r="G15" s="16" t="s">
        <v>316</v>
      </c>
      <c r="H15" s="16" t="s">
        <v>317</v>
      </c>
    </row>
    <row r="16" spans="1:12">
      <c r="D16" s="16" t="str">
        <f t="shared" si="1"/>
        <v>Fill in the gray cells</v>
      </c>
      <c r="E16" s="16" t="s">
        <v>315</v>
      </c>
      <c r="F16" s="16" t="s">
        <v>251</v>
      </c>
      <c r="G16" s="16" t="s">
        <v>318</v>
      </c>
      <c r="H16" s="16" t="s">
        <v>319</v>
      </c>
    </row>
    <row r="17" spans="4:8">
      <c r="D17" s="16" t="str">
        <f t="shared" si="1"/>
        <v>Date</v>
      </c>
      <c r="E17" s="16" t="s">
        <v>315</v>
      </c>
      <c r="F17" s="16" t="s">
        <v>272</v>
      </c>
      <c r="G17" s="16" t="s">
        <v>320</v>
      </c>
      <c r="H17" s="16" t="s">
        <v>321</v>
      </c>
    </row>
    <row r="18" spans="4:8">
      <c r="D18" s="16" t="str">
        <f t="shared" si="1"/>
        <v>Hour</v>
      </c>
      <c r="E18" s="16" t="s">
        <v>315</v>
      </c>
      <c r="F18" s="16" t="s">
        <v>273</v>
      </c>
      <c r="G18" s="16" t="s">
        <v>322</v>
      </c>
      <c r="H18" s="16" t="s">
        <v>323</v>
      </c>
    </row>
    <row r="19" spans="4:8">
      <c r="D19" s="16" t="str">
        <f t="shared" si="1"/>
        <v>R</v>
      </c>
      <c r="E19" s="16" t="s">
        <v>315</v>
      </c>
      <c r="F19" s="16" t="s">
        <v>274</v>
      </c>
      <c r="G19" s="16" t="s">
        <v>324</v>
      </c>
      <c r="H19" s="16" t="s">
        <v>325</v>
      </c>
    </row>
    <row r="20" spans="4:8">
      <c r="D20" s="16" t="str">
        <f t="shared" si="1"/>
        <v>Home</v>
      </c>
      <c r="E20" s="16" t="s">
        <v>315</v>
      </c>
      <c r="F20" s="16" t="s">
        <v>275</v>
      </c>
      <c r="G20" s="16" t="s">
        <v>326</v>
      </c>
      <c r="H20" s="16" t="s">
        <v>327</v>
      </c>
    </row>
    <row r="21" spans="4:8">
      <c r="D21" s="16" t="str">
        <f t="shared" si="1"/>
        <v>Goal</v>
      </c>
      <c r="E21" s="16" t="s">
        <v>315</v>
      </c>
      <c r="F21" s="16" t="s">
        <v>277</v>
      </c>
      <c r="G21" s="16" t="s">
        <v>223</v>
      </c>
      <c r="H21" s="16" t="s">
        <v>328</v>
      </c>
    </row>
    <row r="22" spans="4:8">
      <c r="D22" s="16" t="str">
        <f t="shared" si="1"/>
        <v>Away</v>
      </c>
      <c r="E22" s="16" t="s">
        <v>315</v>
      </c>
      <c r="F22" s="16" t="s">
        <v>329</v>
      </c>
      <c r="G22" s="16" t="s">
        <v>330</v>
      </c>
      <c r="H22" s="16" t="s">
        <v>331</v>
      </c>
    </row>
    <row r="23" spans="4:8">
      <c r="D23" s="16" t="str">
        <f t="shared" si="1"/>
        <v>Group</v>
      </c>
      <c r="E23" s="16" t="s">
        <v>315</v>
      </c>
      <c r="F23" s="16" t="s">
        <v>332</v>
      </c>
      <c r="G23" s="16" t="s">
        <v>333</v>
      </c>
      <c r="H23" s="16" t="s">
        <v>334</v>
      </c>
    </row>
    <row r="24" spans="4:8">
      <c r="D24" s="16" t="str">
        <f t="shared" si="1"/>
        <v>IT'S A DRAW! Choose the order of the Nations to determine their rankings.</v>
      </c>
      <c r="E24" s="16" t="s">
        <v>315</v>
      </c>
      <c r="F24" s="16" t="s">
        <v>335</v>
      </c>
      <c r="G24" s="16" t="s">
        <v>336</v>
      </c>
      <c r="H24" s="16" t="s">
        <v>337</v>
      </c>
    </row>
    <row r="25" spans="4:8">
      <c r="D25" s="16" t="str">
        <f t="shared" si="1"/>
        <v>IT'S A DRAW! Choose the order of the Nations to determine their rankings.</v>
      </c>
      <c r="E25" s="16" t="s">
        <v>315</v>
      </c>
      <c r="F25" s="16" t="s">
        <v>338</v>
      </c>
      <c r="G25" s="16" t="s">
        <v>339</v>
      </c>
      <c r="H25" s="16" t="s">
        <v>337</v>
      </c>
    </row>
    <row r="26" spans="4:8">
      <c r="D26" s="16" t="str">
        <f t="shared" si="1"/>
        <v>Best third-placed</v>
      </c>
      <c r="E26" s="16" t="s">
        <v>315</v>
      </c>
      <c r="F26" s="16" t="s">
        <v>340</v>
      </c>
      <c r="G26" s="16" t="s">
        <v>341</v>
      </c>
      <c r="H26" s="16" t="s">
        <v>342</v>
      </c>
    </row>
    <row r="27" spans="4:8">
      <c r="D27" s="16" t="str">
        <f t="shared" si="1"/>
        <v>Round of 32</v>
      </c>
      <c r="E27" s="16" t="s">
        <v>315</v>
      </c>
      <c r="G27" s="16" t="s">
        <v>343</v>
      </c>
      <c r="H27" s="16" t="s">
        <v>344</v>
      </c>
    </row>
    <row r="28" spans="4:8">
      <c r="D28" s="16" t="str">
        <f t="shared" si="1"/>
        <v>Round of 16</v>
      </c>
      <c r="E28" s="16" t="s">
        <v>315</v>
      </c>
      <c r="F28" s="16" t="s">
        <v>345</v>
      </c>
      <c r="G28" s="16" t="s">
        <v>346</v>
      </c>
      <c r="H28" s="16" t="s">
        <v>347</v>
      </c>
    </row>
    <row r="29" spans="4:8">
      <c r="D29" s="16" t="str">
        <f t="shared" si="1"/>
        <v>Quarterfinals</v>
      </c>
      <c r="E29" s="16" t="s">
        <v>315</v>
      </c>
      <c r="F29" s="16" t="s">
        <v>348</v>
      </c>
      <c r="G29" s="16" t="s">
        <v>349</v>
      </c>
      <c r="H29" s="16" t="s">
        <v>350</v>
      </c>
    </row>
    <row r="30" spans="4:8">
      <c r="D30" s="16" t="str">
        <f t="shared" si="1"/>
        <v>Semifinals</v>
      </c>
      <c r="E30" s="16" t="s">
        <v>315</v>
      </c>
      <c r="F30" s="16" t="s">
        <v>351</v>
      </c>
      <c r="G30" s="16" t="s">
        <v>352</v>
      </c>
      <c r="H30" s="16" t="s">
        <v>353</v>
      </c>
    </row>
    <row r="31" spans="4:8">
      <c r="D31" s="16" t="str">
        <f t="shared" si="1"/>
        <v>3rd-4th place</v>
      </c>
      <c r="E31" s="16" t="s">
        <v>315</v>
      </c>
      <c r="G31" s="16" t="s">
        <v>354</v>
      </c>
      <c r="H31" s="16" t="s">
        <v>355</v>
      </c>
    </row>
    <row r="32" spans="4:8">
      <c r="D32" s="16" t="str">
        <f t="shared" si="1"/>
        <v>Final</v>
      </c>
      <c r="E32" s="16" t="s">
        <v>315</v>
      </c>
      <c r="F32" s="16" t="s">
        <v>356</v>
      </c>
      <c r="G32" s="16" t="s">
        <v>357</v>
      </c>
      <c r="H32" s="16" t="s">
        <v>357</v>
      </c>
    </row>
    <row r="33" spans="4:8">
      <c r="D33" s="16" t="str">
        <f t="shared" si="1"/>
        <v>Honor box</v>
      </c>
      <c r="E33" s="16" t="s">
        <v>315</v>
      </c>
      <c r="F33" s="16" t="s">
        <v>358</v>
      </c>
      <c r="G33" s="16" t="s">
        <v>359</v>
      </c>
      <c r="H33" s="16" t="s">
        <v>360</v>
      </c>
    </row>
    <row r="34" spans="4:8">
      <c r="D34" s="16" t="str">
        <f t="shared" si="1"/>
        <v>Winner</v>
      </c>
      <c r="E34" s="16" t="s">
        <v>315</v>
      </c>
      <c r="F34" s="16" t="s">
        <v>361</v>
      </c>
      <c r="G34" s="16" t="s">
        <v>362</v>
      </c>
      <c r="H34" s="16" t="s">
        <v>363</v>
      </c>
    </row>
    <row r="35" spans="4:8">
      <c r="D35" s="16" t="str">
        <f t="shared" si="1"/>
        <v>Runner-up</v>
      </c>
      <c r="E35" s="16" t="s">
        <v>315</v>
      </c>
      <c r="F35" s="16" t="s">
        <v>364</v>
      </c>
      <c r="G35" s="16" t="s">
        <v>365</v>
      </c>
      <c r="H35" s="16" t="s">
        <v>366</v>
      </c>
    </row>
    <row r="36" spans="4:8">
      <c r="D36" s="16" t="str">
        <f t="shared" si="1"/>
        <v>3rd place</v>
      </c>
      <c r="E36" s="16" t="s">
        <v>315</v>
      </c>
      <c r="G36" s="16" t="s">
        <v>367</v>
      </c>
      <c r="H36" s="16" t="s">
        <v>368</v>
      </c>
    </row>
    <row r="37" spans="4:8">
      <c r="D37" s="16" t="str">
        <f t="shared" si="1"/>
        <v>Golden Boot  (Top Scorer)</v>
      </c>
      <c r="E37" s="16" t="s">
        <v>315</v>
      </c>
      <c r="F37" s="16" t="s">
        <v>369</v>
      </c>
      <c r="G37" s="9" t="s">
        <v>370</v>
      </c>
      <c r="H37" s="16" t="s">
        <v>371</v>
      </c>
    </row>
    <row r="38" spans="4:8">
      <c r="D38" s="16" t="str">
        <f t="shared" si="1"/>
        <v>Silver Boot  (2nd Top Scorer)</v>
      </c>
      <c r="E38" s="16" t="s">
        <v>315</v>
      </c>
      <c r="F38" s="16" t="s">
        <v>372</v>
      </c>
      <c r="G38" s="9" t="s">
        <v>373</v>
      </c>
      <c r="H38" s="16" t="s">
        <v>374</v>
      </c>
    </row>
    <row r="39" spans="4:8">
      <c r="D39" s="16" t="str">
        <f t="shared" si="1"/>
        <v>Bronze Boot (3rd Top Scorer)</v>
      </c>
      <c r="G39" s="9" t="s">
        <v>375</v>
      </c>
      <c r="H39" s="16" t="s">
        <v>376</v>
      </c>
    </row>
    <row r="40" spans="4:8">
      <c r="D40" s="16" t="str">
        <f t="shared" si="1"/>
        <v>Golden Ball (Best Player)</v>
      </c>
      <c r="G40" s="9" t="s">
        <v>377</v>
      </c>
      <c r="H40" s="16" t="s">
        <v>378</v>
      </c>
    </row>
    <row r="41" spans="4:8">
      <c r="D41" s="16" t="str">
        <f t="shared" si="1"/>
        <v>Silver Ball (2nd Best Player)</v>
      </c>
      <c r="G41" s="9" t="s">
        <v>379</v>
      </c>
      <c r="H41" s="16" t="s">
        <v>380</v>
      </c>
    </row>
    <row r="42" spans="4:8">
      <c r="D42" s="16" t="str">
        <f t="shared" si="1"/>
        <v>Bronze  (3rd Best Player))</v>
      </c>
      <c r="G42" s="9" t="s">
        <v>381</v>
      </c>
      <c r="H42" s="16" t="s">
        <v>382</v>
      </c>
    </row>
    <row r="43" spans="4:8">
      <c r="D43" s="16" t="str">
        <f t="shared" si="1"/>
        <v>Write a player</v>
      </c>
      <c r="E43" s="16" t="s">
        <v>315</v>
      </c>
      <c r="F43" s="16" t="s">
        <v>383</v>
      </c>
      <c r="G43" s="16" t="s">
        <v>384</v>
      </c>
      <c r="H43" s="16" t="s">
        <v>385</v>
      </c>
    </row>
    <row r="44" spans="4:8">
      <c r="D44" s="16" t="str">
        <f t="shared" si="1"/>
        <v>Write a player</v>
      </c>
      <c r="E44" s="16" t="s">
        <v>315</v>
      </c>
      <c r="F44" s="16" t="s">
        <v>386</v>
      </c>
      <c r="G44" s="16" t="s">
        <v>384</v>
      </c>
      <c r="H44" s="16" t="s">
        <v>385</v>
      </c>
    </row>
    <row r="45" spans="4:8">
      <c r="D45" s="16" t="str">
        <f t="shared" si="1"/>
        <v>Name</v>
      </c>
      <c r="E45" s="16" t="s">
        <v>315</v>
      </c>
      <c r="F45" s="16" t="s">
        <v>387</v>
      </c>
      <c r="G45" s="16" t="s">
        <v>388</v>
      </c>
      <c r="H45" s="16" t="s">
        <v>389</v>
      </c>
    </row>
    <row r="46" spans="4:8">
      <c r="D46" s="16" t="str">
        <f t="shared" si="1"/>
        <v>Write your name</v>
      </c>
      <c r="E46" s="16" t="s">
        <v>315</v>
      </c>
      <c r="F46" s="16" t="s">
        <v>390</v>
      </c>
      <c r="G46" s="16" t="s">
        <v>391</v>
      </c>
      <c r="H46" s="16" t="s">
        <v>392</v>
      </c>
    </row>
    <row r="47" spans="4:8">
      <c r="D47" s="16" t="str">
        <f t="shared" si="1"/>
        <v>INCOMPLETE POOL:</v>
      </c>
      <c r="E47" s="16" t="s">
        <v>315</v>
      </c>
      <c r="F47" s="16" t="s">
        <v>393</v>
      </c>
      <c r="G47" s="16" t="s">
        <v>394</v>
      </c>
      <c r="H47" s="16" t="s">
        <v>395</v>
      </c>
    </row>
    <row r="48" spans="4:8">
      <c r="D48" s="16" t="str">
        <f t="shared" si="1"/>
        <v>You may have left over some match-ups without prediction or you may have not written your name</v>
      </c>
      <c r="E48" s="16" t="s">
        <v>315</v>
      </c>
      <c r="F48" s="16" t="s">
        <v>396</v>
      </c>
      <c r="G48" s="16" t="s">
        <v>397</v>
      </c>
      <c r="H48" s="16" t="s">
        <v>398</v>
      </c>
    </row>
    <row r="49" spans="4:11">
      <c r="D49" s="16" t="str">
        <f t="shared" si="1"/>
        <v>POOL COMPLETED</v>
      </c>
      <c r="E49" s="16" t="s">
        <v>315</v>
      </c>
      <c r="F49" s="16" t="s">
        <v>399</v>
      </c>
      <c r="G49" s="16" t="s">
        <v>400</v>
      </c>
      <c r="H49" s="16" t="s">
        <v>401</v>
      </c>
    </row>
    <row r="50" spans="4:11">
      <c r="D50" s="16" t="str">
        <f t="shared" si="1"/>
        <v>Save the file and send it over by email.</v>
      </c>
      <c r="E50" s="16" t="s">
        <v>315</v>
      </c>
      <c r="F50" s="16" t="s">
        <v>402</v>
      </c>
      <c r="G50" s="16" t="s">
        <v>403</v>
      </c>
      <c r="H50" s="16" t="s">
        <v>404</v>
      </c>
    </row>
    <row r="51" spans="4:11">
      <c r="D51" s="16" t="str">
        <f t="shared" si="1"/>
        <v>Pos</v>
      </c>
      <c r="E51" s="16" t="s">
        <v>315</v>
      </c>
      <c r="F51" s="16" t="s">
        <v>405</v>
      </c>
      <c r="G51" s="16" t="s">
        <v>406</v>
      </c>
      <c r="H51" s="16" t="s">
        <v>406</v>
      </c>
    </row>
    <row r="52" spans="4:11">
      <c r="D52" s="16" t="str">
        <f t="shared" si="1"/>
        <v>Nation</v>
      </c>
      <c r="E52" s="16" t="s">
        <v>315</v>
      </c>
      <c r="F52" s="16" t="s">
        <v>407</v>
      </c>
      <c r="G52" s="16" t="s">
        <v>408</v>
      </c>
      <c r="H52" s="16" t="s">
        <v>409</v>
      </c>
    </row>
    <row r="53" spans="4:11">
      <c r="D53" s="16" t="str">
        <f t="shared" si="1"/>
        <v>Pts</v>
      </c>
      <c r="E53" s="16" t="s">
        <v>315</v>
      </c>
      <c r="F53" s="16" t="s">
        <v>410</v>
      </c>
      <c r="G53" s="16" t="s">
        <v>280</v>
      </c>
      <c r="H53" s="16" t="s">
        <v>280</v>
      </c>
    </row>
    <row r="54" spans="4:11">
      <c r="D54" s="16" t="str">
        <f t="shared" si="1"/>
        <v>P</v>
      </c>
      <c r="E54" s="16" t="s">
        <v>315</v>
      </c>
      <c r="F54" s="16" t="s">
        <v>411</v>
      </c>
      <c r="G54" s="16" t="s">
        <v>142</v>
      </c>
      <c r="H54" s="16" t="s">
        <v>412</v>
      </c>
    </row>
    <row r="55" spans="4:11">
      <c r="D55" s="16" t="str">
        <f t="shared" si="1"/>
        <v>W</v>
      </c>
      <c r="E55" s="16" t="s">
        <v>315</v>
      </c>
      <c r="F55" s="16" t="s">
        <v>413</v>
      </c>
      <c r="G55" s="16" t="s">
        <v>135</v>
      </c>
      <c r="H55" s="16" t="s">
        <v>414</v>
      </c>
    </row>
    <row r="56" spans="4:11">
      <c r="D56" s="16" t="str">
        <f t="shared" si="1"/>
        <v>D</v>
      </c>
      <c r="E56" s="16" t="s">
        <v>315</v>
      </c>
      <c r="F56" s="16" t="s">
        <v>415</v>
      </c>
      <c r="G56" s="16" t="s">
        <v>117</v>
      </c>
      <c r="H56" s="16" t="s">
        <v>108</v>
      </c>
      <c r="K56" s="9"/>
    </row>
    <row r="57" spans="4:11">
      <c r="D57" s="16" t="str">
        <f t="shared" si="1"/>
        <v>L</v>
      </c>
      <c r="E57" s="16" t="s">
        <v>315</v>
      </c>
      <c r="F57" s="16" t="s">
        <v>416</v>
      </c>
      <c r="G57" s="16" t="s">
        <v>412</v>
      </c>
      <c r="H57" s="16" t="s">
        <v>144</v>
      </c>
      <c r="K57" s="9"/>
    </row>
    <row r="58" spans="4:11">
      <c r="D58" s="16" t="str">
        <f t="shared" si="1"/>
        <v>F</v>
      </c>
      <c r="E58" s="16" t="s">
        <v>315</v>
      </c>
      <c r="F58" s="16" t="s">
        <v>417</v>
      </c>
      <c r="G58" s="16" t="s">
        <v>69</v>
      </c>
      <c r="H58" s="16" t="s">
        <v>126</v>
      </c>
      <c r="K58" s="9"/>
    </row>
    <row r="59" spans="4:11">
      <c r="D59" s="16" t="str">
        <f t="shared" si="1"/>
        <v>A</v>
      </c>
      <c r="E59" s="16" t="s">
        <v>315</v>
      </c>
      <c r="F59" s="16" t="s">
        <v>418</v>
      </c>
      <c r="G59" s="16" t="s">
        <v>419</v>
      </c>
      <c r="H59" s="16" t="s">
        <v>30</v>
      </c>
      <c r="K59" s="9"/>
    </row>
    <row r="60" spans="4:11">
      <c r="D60" s="16" t="str">
        <f t="shared" si="1"/>
        <v>GD</v>
      </c>
      <c r="E60" s="16" t="s">
        <v>315</v>
      </c>
      <c r="F60" s="16" t="s">
        <v>420</v>
      </c>
      <c r="G60" s="16" t="s">
        <v>66</v>
      </c>
      <c r="H60" s="16" t="s">
        <v>421</v>
      </c>
      <c r="K60" s="9"/>
    </row>
    <row r="61" spans="4:11">
      <c r="D61" s="16" t="str">
        <f t="shared" si="1"/>
        <v>R1</v>
      </c>
      <c r="E61" s="16" t="s">
        <v>315</v>
      </c>
      <c r="G61" s="16" t="s">
        <v>252</v>
      </c>
      <c r="H61" s="16" t="s">
        <v>422</v>
      </c>
      <c r="K61" s="9"/>
    </row>
    <row r="62" spans="4:11">
      <c r="D62" s="16" t="str">
        <f t="shared" si="1"/>
        <v>R2</v>
      </c>
      <c r="E62" s="16" t="s">
        <v>315</v>
      </c>
      <c r="G62" s="16" t="s">
        <v>264</v>
      </c>
      <c r="H62" s="16" t="s">
        <v>423</v>
      </c>
    </row>
    <row r="63" spans="4:11">
      <c r="D63" s="16" t="str">
        <f t="shared" si="1"/>
        <v>R3</v>
      </c>
      <c r="E63" s="16" t="s">
        <v>315</v>
      </c>
      <c r="G63" s="16" t="s">
        <v>276</v>
      </c>
      <c r="H63" s="16" t="s">
        <v>424</v>
      </c>
    </row>
    <row r="64" spans="4:11">
      <c r="D64" s="16" t="str">
        <f t="shared" si="1"/>
        <v>Show the best third-placed teams before the group stage ends?</v>
      </c>
      <c r="E64" s="16" t="s">
        <v>315</v>
      </c>
      <c r="F64" s="16" t="s">
        <v>425</v>
      </c>
      <c r="G64" s="593" t="s">
        <v>426</v>
      </c>
      <c r="H64" s="16" t="s">
        <v>427</v>
      </c>
    </row>
    <row r="65" spans="3:8">
      <c r="D65" s="16" t="str">
        <f t="shared" si="1"/>
        <v>Yes</v>
      </c>
      <c r="E65" s="16" t="s">
        <v>315</v>
      </c>
      <c r="G65" s="16" t="s">
        <v>428</v>
      </c>
      <c r="H65" s="16" t="s">
        <v>429</v>
      </c>
    </row>
    <row r="66" spans="3:8">
      <c r="D66" s="16" t="str">
        <f t="shared" si="1"/>
        <v>No</v>
      </c>
      <c r="E66" s="16" t="s">
        <v>315</v>
      </c>
      <c r="G66" s="16" t="s">
        <v>28</v>
      </c>
      <c r="H66" s="16" t="s">
        <v>28</v>
      </c>
    </row>
    <row r="67" spans="3:8">
      <c r="D67" s="16" t="str">
        <f t="shared" ref="D67:D76" si="2">IF($B$2,G67,H67)</f>
        <v>Deducted Points</v>
      </c>
      <c r="E67" s="16" t="s">
        <v>315</v>
      </c>
      <c r="G67" s="582" t="s">
        <v>430</v>
      </c>
      <c r="H67" s="582" t="s">
        <v>431</v>
      </c>
    </row>
    <row r="68" spans="3:8">
      <c r="D68" s="16" t="str">
        <f t="shared" si="2"/>
        <v xml:space="preserve">Best 3-placed groups: </v>
      </c>
      <c r="E68" s="16" t="s">
        <v>315</v>
      </c>
      <c r="G68" s="582" t="s">
        <v>432</v>
      </c>
      <c r="H68" s="582" t="s">
        <v>433</v>
      </c>
    </row>
    <row r="69" spans="3:8">
      <c r="D69" s="16" t="str">
        <f t="shared" si="2"/>
        <v>The ranking of the best third places appears at the end of J1</v>
      </c>
      <c r="E69" s="16" t="s">
        <v>315</v>
      </c>
      <c r="G69" s="16" t="s">
        <v>434</v>
      </c>
      <c r="H69" s="16" t="s">
        <v>435</v>
      </c>
    </row>
    <row r="70" spans="3:8">
      <c r="D70" s="16" t="str">
        <f t="shared" si="2"/>
        <v>Yes</v>
      </c>
      <c r="E70" s="16" t="s">
        <v>315</v>
      </c>
      <c r="G70" s="16" t="s">
        <v>428</v>
      </c>
      <c r="H70" s="16" t="s">
        <v>429</v>
      </c>
    </row>
    <row r="71" spans="3:8">
      <c r="D71" s="16" t="str">
        <f t="shared" si="2"/>
        <v>No</v>
      </c>
      <c r="E71" s="16" t="s">
        <v>315</v>
      </c>
      <c r="G71" s="16" t="s">
        <v>28</v>
      </c>
      <c r="H71" s="16" t="s">
        <v>28</v>
      </c>
    </row>
    <row r="72" spans="3:8">
      <c r="D72" s="16" t="str">
        <f t="shared" si="2"/>
        <v>Are there penalized teams?</v>
      </c>
      <c r="E72" s="16" t="s">
        <v>315</v>
      </c>
      <c r="G72" s="16" t="s">
        <v>436</v>
      </c>
      <c r="H72" s="16" t="s">
        <v>437</v>
      </c>
    </row>
    <row r="73" spans="3:8">
      <c r="C73" s="16">
        <v>1</v>
      </c>
      <c r="D73" s="16" t="str">
        <f t="shared" si="2"/>
        <v>Normal</v>
      </c>
      <c r="E73" s="16" t="s">
        <v>315</v>
      </c>
      <c r="G73" s="16" t="s">
        <v>438</v>
      </c>
      <c r="H73" s="16" t="s">
        <v>438</v>
      </c>
    </row>
    <row r="74" spans="3:8">
      <c r="C74" s="16">
        <v>2</v>
      </c>
      <c r="D74" s="16" t="str">
        <f t="shared" si="2"/>
        <v>Matches against the bottom team are excluded.</v>
      </c>
      <c r="E74" s="16" t="s">
        <v>315</v>
      </c>
      <c r="G74" s="16" t="s">
        <v>439</v>
      </c>
      <c r="H74" s="16" t="s">
        <v>440</v>
      </c>
    </row>
    <row r="75" spans="3:8">
      <c r="C75" s="16">
        <v>3</v>
      </c>
      <c r="D75" s="16" t="str">
        <f t="shared" si="2"/>
        <v>Average per match</v>
      </c>
      <c r="E75" s="16" t="s">
        <v>315</v>
      </c>
      <c r="G75" s="16" t="s">
        <v>441</v>
      </c>
      <c r="H75" s="16" t="s">
        <v>442</v>
      </c>
    </row>
    <row r="76" spans="3:8">
      <c r="D76" s="16" t="str">
        <f t="shared" si="2"/>
        <v>Select criteria:</v>
      </c>
      <c r="E76" s="16" t="s">
        <v>315</v>
      </c>
      <c r="G76" s="16" t="s">
        <v>443</v>
      </c>
      <c r="H76" s="16" t="s">
        <v>444</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445</v>
      </c>
      <c r="F79" s="16" t="s">
        <v>268</v>
      </c>
      <c r="G79" s="16" t="s">
        <v>446</v>
      </c>
      <c r="H79" s="16" t="s">
        <v>447</v>
      </c>
    </row>
    <row r="80" spans="3:8">
      <c r="D80" s="16" t="str">
        <f t="shared" si="3"/>
        <v>Author:</v>
      </c>
      <c r="E80" s="16" t="s">
        <v>445</v>
      </c>
      <c r="F80" s="16" t="s">
        <v>448</v>
      </c>
      <c r="G80" s="16" t="s">
        <v>449</v>
      </c>
      <c r="H80" s="16" t="s">
        <v>450</v>
      </c>
    </row>
    <row r="81" spans="4:8">
      <c r="D81" s="16" t="str">
        <f t="shared" si="3"/>
        <v>Last version:</v>
      </c>
      <c r="E81" s="16" t="s">
        <v>445</v>
      </c>
      <c r="F81" s="16" t="s">
        <v>451</v>
      </c>
      <c r="G81" s="16" t="s">
        <v>452</v>
      </c>
      <c r="H81" s="16" t="s">
        <v>453</v>
      </c>
    </row>
    <row r="82" spans="4:8">
      <c r="D82" s="16" t="str">
        <f t="shared" si="3"/>
        <v>Disclaimer:</v>
      </c>
      <c r="E82" s="16" t="s">
        <v>445</v>
      </c>
      <c r="F82" s="16" t="s">
        <v>256</v>
      </c>
      <c r="G82" s="16" t="s">
        <v>454</v>
      </c>
      <c r="H82" s="16" t="s">
        <v>455</v>
      </c>
    </row>
    <row r="83" spans="4:8">
      <c r="D83" s="16" t="str">
        <f t="shared" si="3"/>
        <v>TO DOWNLOAD, CLICK ON</v>
      </c>
      <c r="E83" s="16" t="s">
        <v>445</v>
      </c>
      <c r="G83" s="16" t="s">
        <v>456</v>
      </c>
      <c r="H83" s="16" t="s">
        <v>457</v>
      </c>
    </row>
    <row r="84" spans="4:8">
      <c r="D84" s="16" t="str">
        <f t="shared" si="3"/>
        <v>· Select the language and time zone</v>
      </c>
      <c r="E84" s="16" t="s">
        <v>445</v>
      </c>
      <c r="G84" s="16" t="s">
        <v>458</v>
      </c>
      <c r="H84" s="16" t="s">
        <v>459</v>
      </c>
    </row>
    <row r="85" spans="4:8">
      <c r="D85" s="16" t="str">
        <f t="shared" si="3"/>
        <v>· If you are going to participate in a pool/sweepstake, write your name</v>
      </c>
      <c r="E85" s="16" t="s">
        <v>445</v>
      </c>
      <c r="G85" s="16" t="s">
        <v>460</v>
      </c>
      <c r="H85" s="16" t="s">
        <v>461</v>
      </c>
    </row>
    <row r="86" spans="4:8">
      <c r="D86" s="16" t="str">
        <f t="shared" si="3"/>
        <v>· If you are going to organize a pool, you can download the administration excel file from here</v>
      </c>
      <c r="E86" s="16" t="s">
        <v>445</v>
      </c>
      <c r="G86" s="16" t="s">
        <v>462</v>
      </c>
      <c r="H86" s="16" t="s">
        <v>463</v>
      </c>
    </row>
    <row r="87" spans="4:8">
      <c r="D87" s="16" t="str">
        <f t="shared" si="3"/>
        <v>· Fill in the grey boxes with the group stage results for each group</v>
      </c>
      <c r="E87" s="16" t="s">
        <v>445</v>
      </c>
      <c r="G87" s="16" t="s">
        <v>464</v>
      </c>
      <c r="H87" s="16" t="s">
        <v>465</v>
      </c>
    </row>
    <row r="88" spans="4:8">
      <c r="D88" s="16" t="str">
        <f t="shared" si="3"/>
        <v>· In case of a tie in the position of a group or in the best third-placed teams, you can select the order of the drawed nations</v>
      </c>
      <c r="E88" s="16" t="s">
        <v>445</v>
      </c>
      <c r="G88" s="16" t="s">
        <v>466</v>
      </c>
      <c r="H88" s="16" t="s">
        <v>467</v>
      </c>
    </row>
    <row r="89" spans="4:8">
      <c r="D89" s="16" t="str">
        <f t="shared" si="3"/>
        <v>· Playoffs are set automatically</v>
      </c>
      <c r="E89" s="16" t="s">
        <v>445</v>
      </c>
      <c r="G89" s="16" t="s">
        <v>468</v>
      </c>
      <c r="H89" s="16" t="s">
        <v>469</v>
      </c>
    </row>
    <row r="90" spans="4:8">
      <c r="D90" s="16" t="str">
        <f t="shared" si="3"/>
        <v>· Fill in the results of the knockout stages. In the event of a tie, two cells are opened on the sides to introduce the result of the penalties</v>
      </c>
      <c r="E90" s="16" t="s">
        <v>445</v>
      </c>
      <c r="G90" s="16" t="s">
        <v>470</v>
      </c>
      <c r="H90" s="16" t="s">
        <v>471</v>
      </c>
    </row>
    <row r="91" spans="4:8">
      <c r="D91" s="16" t="str">
        <f t="shared" si="3"/>
        <v>· If you're going to participate in a pool/sweepstake, fill in the best players and top scorers</v>
      </c>
      <c r="E91" s="16" t="s">
        <v>445</v>
      </c>
      <c r="G91" s="16" t="s">
        <v>472</v>
      </c>
      <c r="H91" s="16" t="s">
        <v>473</v>
      </c>
    </row>
    <row r="92" spans="4:8">
      <c r="D92" s="16" t="str">
        <f t="shared" si="3"/>
        <v>· This sheet is independent of the results entered in the WORLDCUP sheet and its use is optional</v>
      </c>
      <c r="E92" s="16" t="s">
        <v>445</v>
      </c>
      <c r="G92" s="16" t="s">
        <v>474</v>
      </c>
      <c r="H92" s="16" t="s">
        <v>475</v>
      </c>
    </row>
    <row r="93" spans="4:8">
      <c r="D93" s="16" t="str">
        <f t="shared" si="3"/>
        <v>· The instructions for use of this sheet are on the same sheet</v>
      </c>
      <c r="E93" s="16" t="s">
        <v>445</v>
      </c>
      <c r="G93" s="16" t="s">
        <v>476</v>
      </c>
      <c r="H93" s="16" t="s">
        <v>477</v>
      </c>
    </row>
    <row r="94" spans="4:8">
      <c r="D94" s="16" t="str">
        <f t="shared" si="3"/>
        <v>· On this sheet you don't have to write anything</v>
      </c>
      <c r="E94" s="16" t="s">
        <v>445</v>
      </c>
      <c r="G94" s="16" t="s">
        <v>478</v>
      </c>
      <c r="H94" s="16" t="s">
        <v>479</v>
      </c>
    </row>
    <row r="95" spans="4:8">
      <c r="D95" s="16" t="str">
        <f t="shared" si="3"/>
        <v>· It is used for the organizer of the sweepstakes to copy these results and paste them into the administrator file</v>
      </c>
      <c r="E95" s="16" t="s">
        <v>445</v>
      </c>
      <c r="G95" s="16" t="s">
        <v>480</v>
      </c>
      <c r="H95" s="16" t="s">
        <v>481</v>
      </c>
    </row>
    <row r="96" spans="4:8">
      <c r="D96" s="16" t="str">
        <f t="shared" si="3"/>
        <v>· This sheet shows a view of all the results entered in the WORLDCUP sheet, nothing is filled in on this sheet.</v>
      </c>
      <c r="E96" s="16" t="s">
        <v>445</v>
      </c>
      <c r="G96" s="16" t="s">
        <v>482</v>
      </c>
      <c r="H96" s="16" t="s">
        <v>483</v>
      </c>
    </row>
    <row r="102" spans="4:16">
      <c r="D102" s="16" t="str">
        <f t="shared" ref="D102:D193" si="4">IF($B$2,G102,H102)</f>
        <v>For the administrator of the pool</v>
      </c>
      <c r="E102" s="16" t="s">
        <v>484</v>
      </c>
      <c r="F102" s="16" t="s">
        <v>245</v>
      </c>
      <c r="G102" s="16" t="s">
        <v>485</v>
      </c>
      <c r="H102" s="16" t="s">
        <v>486</v>
      </c>
    </row>
    <row r="103" spans="4:16">
      <c r="D103" s="16" t="str">
        <f t="shared" si="4"/>
        <v>PLAYER</v>
      </c>
      <c r="E103" s="16" t="s">
        <v>484</v>
      </c>
      <c r="F103" s="16" t="s">
        <v>256</v>
      </c>
      <c r="G103" s="16" t="s">
        <v>487</v>
      </c>
      <c r="H103" s="16" t="s">
        <v>488</v>
      </c>
    </row>
    <row r="104" spans="4:16">
      <c r="D104" s="16" t="str">
        <f t="shared" si="4"/>
        <v>Name</v>
      </c>
      <c r="E104" s="16" t="s">
        <v>484</v>
      </c>
      <c r="F104" s="16" t="s">
        <v>268</v>
      </c>
      <c r="G104" s="16" t="s">
        <v>388</v>
      </c>
      <c r="H104" s="16" t="s">
        <v>389</v>
      </c>
    </row>
    <row r="105" spans="4:16">
      <c r="D105" s="16" t="str">
        <f t="shared" si="4"/>
        <v>PLAYER: DO NOT TOUCH, IT'S AUTOMATIC!</v>
      </c>
      <c r="E105" s="16" t="s">
        <v>484</v>
      </c>
      <c r="F105" s="16" t="s">
        <v>489</v>
      </c>
      <c r="G105" s="16" t="s">
        <v>490</v>
      </c>
      <c r="H105" s="16" t="s">
        <v>491</v>
      </c>
    </row>
    <row r="106" spans="4:16" ht="15" customHeight="1">
      <c r="D106" s="16" t="str">
        <f t="shared" si="4"/>
        <v xml:space="preserve">THE POOL ADMINISTRATOR SHOULD FOLLOW THE INSTRUCTIONS BELOW				</v>
      </c>
      <c r="E106" s="16" t="s">
        <v>484</v>
      </c>
      <c r="F106" s="16" t="s">
        <v>247</v>
      </c>
      <c r="G106" s="16" t="s">
        <v>492</v>
      </c>
      <c r="H106" s="16" t="s">
        <v>493</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484</v>
      </c>
      <c r="F107" s="16" t="s">
        <v>271</v>
      </c>
      <c r="G107" s="608" t="s">
        <v>494</v>
      </c>
      <c r="H107" s="16" t="s">
        <v>495</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484</v>
      </c>
      <c r="F108" s="16" t="s">
        <v>496</v>
      </c>
      <c r="G108" s="16" t="s">
        <v>497</v>
      </c>
      <c r="H108" s="16" t="s">
        <v>498</v>
      </c>
    </row>
    <row r="109" spans="4:16" ht="15" customHeight="1">
      <c r="D109" s="16" t="str">
        <f t="shared" si="4"/>
        <v>·If you play by Rounds, follow de instuctions of every round.</v>
      </c>
      <c r="E109" s="16" t="s">
        <v>484</v>
      </c>
      <c r="F109" s="16" t="s">
        <v>499</v>
      </c>
      <c r="G109" s="16" t="s">
        <v>500</v>
      </c>
      <c r="H109" s="16" t="s">
        <v>501</v>
      </c>
      <c r="I109" s="609"/>
      <c r="K109" s="609"/>
      <c r="L109" s="609"/>
    </row>
    <row r="110" spans="4:16">
      <c r="D110" s="16" t="str">
        <f t="shared" si="4"/>
        <v>·For the 1st Round copy from C5 to C29 an paste as values in the Administrator Pool. CAUTION. Also copy and paste values form C253 to C258.</v>
      </c>
      <c r="E110" s="16" t="s">
        <v>484</v>
      </c>
      <c r="F110" s="16" t="s">
        <v>502</v>
      </c>
      <c r="G110" s="16" t="s">
        <v>503</v>
      </c>
      <c r="H110" s="16" t="s">
        <v>504</v>
      </c>
    </row>
    <row r="111" spans="4:16">
      <c r="D111" s="16" t="str">
        <f t="shared" si="4"/>
        <v>·For the 2nd Round copy from C30 to C53 an paste as values in the Administrator Pool.</v>
      </c>
      <c r="E111" s="16" t="s">
        <v>484</v>
      </c>
      <c r="F111" s="16" t="s">
        <v>505</v>
      </c>
      <c r="G111" s="16" t="s">
        <v>506</v>
      </c>
      <c r="H111" s="16" t="s">
        <v>507</v>
      </c>
    </row>
    <row r="112" spans="4:16">
      <c r="D112" s="16" t="str">
        <f t="shared" si="4"/>
        <v>·For the 3rd Round copy from C54 to C161 an paste as values in the Administrator Pool.</v>
      </c>
      <c r="E112" s="16" t="s">
        <v>484</v>
      </c>
      <c r="F112" s="16" t="s">
        <v>508</v>
      </c>
      <c r="G112" s="16" t="s">
        <v>509</v>
      </c>
      <c r="H112" s="16" t="s">
        <v>510</v>
      </c>
    </row>
    <row r="113" spans="4:9">
      <c r="D113" s="16" t="str">
        <f t="shared" si="4"/>
        <v>·If you play the KO rounds at once copy from C164 to C252 and paste in the Administrator template.</v>
      </c>
      <c r="E113" s="16" t="s">
        <v>484</v>
      </c>
      <c r="F113" s="16" t="s">
        <v>511</v>
      </c>
      <c r="G113" s="16" t="s">
        <v>512</v>
      </c>
      <c r="H113" s="16" t="s">
        <v>513</v>
      </c>
    </row>
    <row r="114" spans="4:9">
      <c r="D114" s="16" t="str">
        <f t="shared" si="4"/>
        <v>·If you play de KO phase, round by round, follow the instructions of every KO round.</v>
      </c>
      <c r="E114" s="16" t="s">
        <v>484</v>
      </c>
      <c r="F114" s="16" t="s">
        <v>514</v>
      </c>
      <c r="G114" s="16" t="s">
        <v>515</v>
      </c>
      <c r="H114" s="16" t="s">
        <v>516</v>
      </c>
    </row>
    <row r="115" spans="4:9">
      <c r="D115" s="16" t="str">
        <f t="shared" si="4"/>
        <v>·For de round of 32 matches, copy from C164 to C197 and paste in the administrator template in "Paste Values Round of 32"</v>
      </c>
      <c r="E115" s="16" t="s">
        <v>484</v>
      </c>
      <c r="F115" s="16" t="s">
        <v>517</v>
      </c>
      <c r="G115" s="16" t="s">
        <v>518</v>
      </c>
      <c r="H115" s="16" t="s">
        <v>519</v>
      </c>
    </row>
    <row r="116" spans="4:9">
      <c r="D116" s="16" t="str">
        <f t="shared" si="4"/>
        <v>·For the round of 16 matches, copy from C200 to C217 and paste in the administrator template in "Paste Values Round of 16"</v>
      </c>
      <c r="E116" s="16" t="s">
        <v>484</v>
      </c>
      <c r="F116" s="16" t="s">
        <v>520</v>
      </c>
      <c r="G116" s="16" t="s">
        <v>521</v>
      </c>
      <c r="H116" s="16" t="s">
        <v>522</v>
      </c>
    </row>
    <row r="117" spans="4:9">
      <c r="D117" s="16" t="str">
        <f t="shared" si="4"/>
        <v>·For the round of Quarterfinals matches, copy from C220 to C229 and paste in the administrator template in "Paste Values Quarterfinals"</v>
      </c>
      <c r="E117" s="16" t="s">
        <v>484</v>
      </c>
      <c r="G117" s="16" t="s">
        <v>523</v>
      </c>
      <c r="H117" s="16" t="s">
        <v>524</v>
      </c>
    </row>
    <row r="118" spans="4:9">
      <c r="D118" s="16" t="str">
        <f t="shared" si="4"/>
        <v>·For the round of Semi-Finals matches, copy from C232 to C241 and paste in the administrator template in "Paste Values Semifinals"</v>
      </c>
      <c r="E118" s="16" t="s">
        <v>484</v>
      </c>
      <c r="F118" s="16" t="s">
        <v>525</v>
      </c>
      <c r="G118" s="16" t="s">
        <v>526</v>
      </c>
      <c r="H118" s="16" t="s">
        <v>527</v>
      </c>
    </row>
    <row r="119" spans="4:9">
      <c r="D119" s="16" t="str">
        <f t="shared" si="4"/>
        <v>·For the Final and 3-4 place matches, copy from C244 to C252 and paste in the administrator template in "Paste Values Final"</v>
      </c>
      <c r="E119" s="16" t="s">
        <v>484</v>
      </c>
      <c r="F119" s="16" t="s">
        <v>528</v>
      </c>
      <c r="G119" s="16" t="s">
        <v>529</v>
      </c>
      <c r="H119" s="16" t="s">
        <v>530</v>
      </c>
    </row>
    <row r="120" spans="4:9">
      <c r="D120" s="16" t="str">
        <f t="shared" si="4"/>
        <v>·At the beginning of the competition, if it is done in phases, copy from C253 to C258 and paste it at the end of the player in the administrator file.</v>
      </c>
      <c r="E120" s="16" t="s">
        <v>484</v>
      </c>
      <c r="F120" s="16" t="s">
        <v>531</v>
      </c>
      <c r="G120" s="16" t="s">
        <v>532</v>
      </c>
      <c r="H120" s="16" t="s">
        <v>533</v>
      </c>
    </row>
    <row r="121" spans="4:9">
      <c r="D121" s="16" t="str">
        <f t="shared" si="4"/>
        <v>·Copy from C261 to C258 and paste it in the administrator template in "Paste Values Predictor"</v>
      </c>
      <c r="E121" s="16" t="s">
        <v>484</v>
      </c>
      <c r="G121" s="582" t="s">
        <v>534</v>
      </c>
      <c r="H121" s="582" t="s">
        <v>535</v>
      </c>
    </row>
    <row r="122" spans="4:9">
      <c r="D122" s="16" t="str">
        <f t="shared" si="4"/>
        <v>R1</v>
      </c>
      <c r="E122" s="16" t="s">
        <v>484</v>
      </c>
      <c r="F122" s="16" t="s">
        <v>536</v>
      </c>
      <c r="G122" s="16" t="s">
        <v>252</v>
      </c>
      <c r="H122" s="16" t="s">
        <v>422</v>
      </c>
      <c r="I122" s="582"/>
    </row>
    <row r="123" spans="4:9">
      <c r="D123" s="16" t="str">
        <f t="shared" si="4"/>
        <v>R2</v>
      </c>
      <c r="E123" s="16" t="s">
        <v>484</v>
      </c>
      <c r="F123" s="16" t="s">
        <v>537</v>
      </c>
      <c r="G123" s="16" t="s">
        <v>264</v>
      </c>
      <c r="H123" s="16" t="s">
        <v>423</v>
      </c>
    </row>
    <row r="124" spans="4:9">
      <c r="D124" s="16" t="str">
        <f t="shared" si="4"/>
        <v>R3</v>
      </c>
      <c r="E124" s="16" t="s">
        <v>484</v>
      </c>
      <c r="F124" s="16" t="s">
        <v>538</v>
      </c>
      <c r="G124" s="16" t="s">
        <v>276</v>
      </c>
      <c r="H124" s="16" t="s">
        <v>424</v>
      </c>
    </row>
    <row r="125" spans="4:9">
      <c r="D125" s="16" t="str">
        <f t="shared" si="4"/>
        <v>GROUP STAGE</v>
      </c>
      <c r="E125" s="16" t="s">
        <v>484</v>
      </c>
      <c r="F125" s="16" t="s">
        <v>539</v>
      </c>
      <c r="G125" s="16" t="s">
        <v>540</v>
      </c>
      <c r="H125" s="16" t="s">
        <v>541</v>
      </c>
    </row>
    <row r="126" spans="4:9">
      <c r="D126" s="16" t="str">
        <f t="shared" si="4"/>
        <v>GROUP POSITION</v>
      </c>
      <c r="E126" s="16" t="s">
        <v>484</v>
      </c>
      <c r="F126" s="16" t="s">
        <v>542</v>
      </c>
      <c r="G126" s="16" t="s">
        <v>543</v>
      </c>
      <c r="H126" s="16" t="s">
        <v>544</v>
      </c>
    </row>
    <row r="127" spans="4:9">
      <c r="D127" s="16" t="str">
        <f t="shared" si="4"/>
        <v>QUALIFIED FOR ROUND OF 32</v>
      </c>
      <c r="E127" s="16" t="s">
        <v>484</v>
      </c>
      <c r="F127" s="16" t="s">
        <v>545</v>
      </c>
      <c r="G127" s="16" t="s">
        <v>546</v>
      </c>
      <c r="H127" s="16" t="s">
        <v>547</v>
      </c>
    </row>
    <row r="128" spans="4:9">
      <c r="D128" s="16" t="str">
        <f t="shared" si="4"/>
        <v>ROUND OF 32</v>
      </c>
      <c r="E128" s="16" t="s">
        <v>484</v>
      </c>
      <c r="F128" s="16" t="s">
        <v>548</v>
      </c>
      <c r="G128" s="16" t="s">
        <v>549</v>
      </c>
      <c r="H128" s="16" t="s">
        <v>550</v>
      </c>
    </row>
    <row r="129" spans="4:8">
      <c r="D129" s="16" t="str">
        <f t="shared" si="4"/>
        <v>QUALIFIED FOR ROUND OF 16</v>
      </c>
      <c r="E129" s="16" t="s">
        <v>484</v>
      </c>
      <c r="G129" s="16" t="s">
        <v>551</v>
      </c>
      <c r="H129" s="16" t="s">
        <v>552</v>
      </c>
    </row>
    <row r="130" spans="4:8">
      <c r="D130" s="16" t="str">
        <f t="shared" si="4"/>
        <v>ROUND OF 16</v>
      </c>
      <c r="E130" s="16" t="s">
        <v>484</v>
      </c>
      <c r="G130" s="16" t="s">
        <v>553</v>
      </c>
      <c r="H130" s="16" t="s">
        <v>554</v>
      </c>
    </row>
    <row r="131" spans="4:8">
      <c r="D131" s="16" t="str">
        <f t="shared" si="4"/>
        <v>QUARTER-FINALISTS</v>
      </c>
      <c r="E131" s="16" t="s">
        <v>484</v>
      </c>
      <c r="F131" s="16" t="s">
        <v>555</v>
      </c>
      <c r="G131" s="16" t="s">
        <v>556</v>
      </c>
      <c r="H131" s="16" t="s">
        <v>557</v>
      </c>
    </row>
    <row r="132" spans="4:8">
      <c r="D132" s="16" t="str">
        <f t="shared" si="4"/>
        <v>QUARTERFINALS</v>
      </c>
      <c r="E132" s="16" t="s">
        <v>484</v>
      </c>
      <c r="F132" s="16" t="s">
        <v>558</v>
      </c>
      <c r="G132" s="16" t="s">
        <v>559</v>
      </c>
      <c r="H132" s="16" t="s">
        <v>560</v>
      </c>
    </row>
    <row r="133" spans="4:8">
      <c r="D133" s="16" t="str">
        <f t="shared" si="4"/>
        <v>QUALIFIED FOR SEMIFINALS</v>
      </c>
      <c r="E133" s="16" t="s">
        <v>484</v>
      </c>
      <c r="F133" s="16" t="s">
        <v>561</v>
      </c>
      <c r="G133" s="16" t="s">
        <v>562</v>
      </c>
      <c r="H133" s="16" t="s">
        <v>563</v>
      </c>
    </row>
    <row r="134" spans="4:8">
      <c r="D134" s="16" t="str">
        <f t="shared" si="4"/>
        <v>SEMIFINALS</v>
      </c>
      <c r="E134" s="16" t="s">
        <v>484</v>
      </c>
      <c r="F134" s="16" t="s">
        <v>564</v>
      </c>
      <c r="G134" s="16" t="s">
        <v>565</v>
      </c>
      <c r="H134" s="16" t="s">
        <v>566</v>
      </c>
    </row>
    <row r="135" spans="4:8">
      <c r="D135" s="16" t="str">
        <f t="shared" si="4"/>
        <v>QUALIFIED FOR 3rd-4th PLACE</v>
      </c>
      <c r="E135" s="16" t="s">
        <v>484</v>
      </c>
      <c r="G135" s="16" t="s">
        <v>567</v>
      </c>
      <c r="H135" s="16" t="s">
        <v>568</v>
      </c>
    </row>
    <row r="136" spans="4:8">
      <c r="D136" s="16" t="str">
        <f t="shared" si="4"/>
        <v>QUALIFIED FOR THE FINAL</v>
      </c>
      <c r="E136" s="16" t="s">
        <v>484</v>
      </c>
      <c r="F136" s="16" t="s">
        <v>569</v>
      </c>
      <c r="G136" s="16" t="s">
        <v>570</v>
      </c>
      <c r="H136" s="16" t="s">
        <v>571</v>
      </c>
    </row>
    <row r="137" spans="4:8">
      <c r="D137" s="16" t="str">
        <f t="shared" si="4"/>
        <v>3rd-4th place</v>
      </c>
      <c r="E137" s="16" t="s">
        <v>484</v>
      </c>
      <c r="G137" s="16" t="s">
        <v>572</v>
      </c>
      <c r="H137" s="16" t="s">
        <v>355</v>
      </c>
    </row>
    <row r="138" spans="4:8">
      <c r="D138" s="16" t="str">
        <f t="shared" si="4"/>
        <v>FINAL</v>
      </c>
      <c r="E138" s="16" t="s">
        <v>484</v>
      </c>
      <c r="F138" s="16" t="s">
        <v>573</v>
      </c>
      <c r="G138" s="16" t="s">
        <v>574</v>
      </c>
      <c r="H138" s="16" t="s">
        <v>575</v>
      </c>
    </row>
    <row r="139" spans="4:8">
      <c r="D139" s="16" t="str">
        <f t="shared" si="4"/>
        <v>HONOR BOX</v>
      </c>
      <c r="E139" s="16" t="s">
        <v>484</v>
      </c>
      <c r="F139" s="16" t="s">
        <v>576</v>
      </c>
      <c r="G139" s="16" t="s">
        <v>577</v>
      </c>
      <c r="H139" s="16" t="s">
        <v>578</v>
      </c>
    </row>
    <row r="140" spans="4:8">
      <c r="D140" s="16" t="str">
        <f t="shared" ref="D140:D163" si="5">IF($B$2,G140,H140)</f>
        <v>1st GROUP A</v>
      </c>
      <c r="E140" s="16" t="s">
        <v>484</v>
      </c>
      <c r="F140" s="16" t="s">
        <v>579</v>
      </c>
      <c r="G140" s="16" t="s">
        <v>580</v>
      </c>
      <c r="H140" s="9" t="s">
        <v>581</v>
      </c>
    </row>
    <row r="141" spans="4:8">
      <c r="D141" s="16" t="str">
        <f t="shared" si="5"/>
        <v>2nd GROUP A</v>
      </c>
      <c r="E141" s="16" t="s">
        <v>484</v>
      </c>
      <c r="F141" s="16" t="s">
        <v>582</v>
      </c>
      <c r="G141" s="16" t="s">
        <v>583</v>
      </c>
      <c r="H141" s="9" t="s">
        <v>584</v>
      </c>
    </row>
    <row r="142" spans="4:8">
      <c r="D142" s="16" t="str">
        <f t="shared" si="5"/>
        <v>3rd GROUP A</v>
      </c>
      <c r="E142" s="16" t="s">
        <v>484</v>
      </c>
      <c r="F142" s="16" t="s">
        <v>585</v>
      </c>
      <c r="G142" s="16" t="s">
        <v>586</v>
      </c>
      <c r="H142" s="9" t="s">
        <v>587</v>
      </c>
    </row>
    <row r="143" spans="4:8">
      <c r="D143" s="16" t="str">
        <f t="shared" si="5"/>
        <v>4th GROUP A</v>
      </c>
      <c r="E143" s="16" t="s">
        <v>484</v>
      </c>
      <c r="F143" s="16" t="s">
        <v>588</v>
      </c>
      <c r="G143" s="16" t="s">
        <v>589</v>
      </c>
      <c r="H143" s="9" t="s">
        <v>590</v>
      </c>
    </row>
    <row r="144" spans="4:8">
      <c r="D144" s="16" t="str">
        <f t="shared" si="5"/>
        <v>1st GROUP B</v>
      </c>
      <c r="E144" s="16" t="s">
        <v>484</v>
      </c>
      <c r="F144" s="16" t="s">
        <v>591</v>
      </c>
      <c r="G144" s="16" t="s">
        <v>592</v>
      </c>
      <c r="H144" s="9" t="s">
        <v>593</v>
      </c>
    </row>
    <row r="145" spans="4:8">
      <c r="D145" s="16" t="str">
        <f t="shared" si="5"/>
        <v>2nd GROUP B</v>
      </c>
      <c r="E145" s="16" t="s">
        <v>484</v>
      </c>
      <c r="F145" s="16" t="s">
        <v>594</v>
      </c>
      <c r="G145" s="16" t="s">
        <v>595</v>
      </c>
      <c r="H145" s="9" t="s">
        <v>596</v>
      </c>
    </row>
    <row r="146" spans="4:8">
      <c r="D146" s="16" t="str">
        <f t="shared" si="5"/>
        <v>3rd GROUP B</v>
      </c>
      <c r="E146" s="16" t="s">
        <v>484</v>
      </c>
      <c r="F146" s="16" t="s">
        <v>597</v>
      </c>
      <c r="G146" s="16" t="s">
        <v>598</v>
      </c>
      <c r="H146" s="9" t="s">
        <v>599</v>
      </c>
    </row>
    <row r="147" spans="4:8">
      <c r="D147" s="16" t="str">
        <f t="shared" si="5"/>
        <v>4th GROUP B</v>
      </c>
      <c r="E147" s="16" t="s">
        <v>484</v>
      </c>
      <c r="F147" s="16" t="s">
        <v>600</v>
      </c>
      <c r="G147" s="16" t="s">
        <v>601</v>
      </c>
      <c r="H147" s="9" t="s">
        <v>602</v>
      </c>
    </row>
    <row r="148" spans="4:8">
      <c r="D148" s="16" t="str">
        <f t="shared" si="5"/>
        <v>1st GROUP C</v>
      </c>
      <c r="E148" s="16" t="s">
        <v>484</v>
      </c>
      <c r="F148" s="16" t="s">
        <v>603</v>
      </c>
      <c r="G148" s="16" t="s">
        <v>604</v>
      </c>
      <c r="H148" s="9" t="s">
        <v>605</v>
      </c>
    </row>
    <row r="149" spans="4:8">
      <c r="D149" s="16" t="str">
        <f t="shared" si="5"/>
        <v>2nd GROUP C</v>
      </c>
      <c r="E149" s="16" t="s">
        <v>484</v>
      </c>
      <c r="F149" s="16" t="s">
        <v>606</v>
      </c>
      <c r="G149" s="16" t="s">
        <v>607</v>
      </c>
      <c r="H149" s="9" t="s">
        <v>608</v>
      </c>
    </row>
    <row r="150" spans="4:8">
      <c r="D150" s="16" t="str">
        <f t="shared" si="5"/>
        <v>3rd GROUP C</v>
      </c>
      <c r="E150" s="16" t="s">
        <v>484</v>
      </c>
      <c r="F150" s="16" t="s">
        <v>609</v>
      </c>
      <c r="G150" s="16" t="s">
        <v>610</v>
      </c>
      <c r="H150" s="9" t="s">
        <v>611</v>
      </c>
    </row>
    <row r="151" spans="4:8">
      <c r="D151" s="16" t="str">
        <f t="shared" si="5"/>
        <v>4th GROUP C</v>
      </c>
      <c r="E151" s="16" t="s">
        <v>484</v>
      </c>
      <c r="F151" s="16" t="s">
        <v>612</v>
      </c>
      <c r="G151" s="16" t="s">
        <v>613</v>
      </c>
      <c r="H151" s="9" t="s">
        <v>614</v>
      </c>
    </row>
    <row r="152" spans="4:8">
      <c r="D152" s="16" t="str">
        <f t="shared" si="5"/>
        <v>1st GROUP D</v>
      </c>
      <c r="E152" s="16" t="s">
        <v>484</v>
      </c>
      <c r="F152" s="16" t="s">
        <v>615</v>
      </c>
      <c r="G152" s="16" t="s">
        <v>616</v>
      </c>
      <c r="H152" s="9" t="s">
        <v>617</v>
      </c>
    </row>
    <row r="153" spans="4:8">
      <c r="D153" s="16" t="str">
        <f t="shared" si="5"/>
        <v>2nd GROUP D</v>
      </c>
      <c r="E153" s="16" t="s">
        <v>484</v>
      </c>
      <c r="F153" s="16" t="s">
        <v>618</v>
      </c>
      <c r="G153" s="16" t="s">
        <v>619</v>
      </c>
      <c r="H153" s="9" t="s">
        <v>620</v>
      </c>
    </row>
    <row r="154" spans="4:8">
      <c r="D154" s="16" t="str">
        <f t="shared" si="5"/>
        <v>3rd GROUP D</v>
      </c>
      <c r="E154" s="16" t="s">
        <v>484</v>
      </c>
      <c r="F154" s="16" t="s">
        <v>621</v>
      </c>
      <c r="G154" s="16" t="s">
        <v>622</v>
      </c>
      <c r="H154" s="9" t="s">
        <v>623</v>
      </c>
    </row>
    <row r="155" spans="4:8">
      <c r="D155" s="16" t="str">
        <f t="shared" si="5"/>
        <v>4th GROUP D</v>
      </c>
      <c r="E155" s="16" t="s">
        <v>484</v>
      </c>
      <c r="F155" s="16" t="s">
        <v>624</v>
      </c>
      <c r="G155" s="16" t="s">
        <v>625</v>
      </c>
      <c r="H155" s="9" t="s">
        <v>626</v>
      </c>
    </row>
    <row r="156" spans="4:8">
      <c r="D156" s="16" t="str">
        <f t="shared" si="5"/>
        <v>1st GROUP E</v>
      </c>
      <c r="E156" s="16" t="s">
        <v>484</v>
      </c>
      <c r="F156" s="16" t="s">
        <v>627</v>
      </c>
      <c r="G156" s="16" t="s">
        <v>628</v>
      </c>
      <c r="H156" s="9" t="s">
        <v>629</v>
      </c>
    </row>
    <row r="157" spans="4:8">
      <c r="D157" s="16" t="str">
        <f t="shared" si="5"/>
        <v>2nd GROUP E</v>
      </c>
      <c r="E157" s="16" t="s">
        <v>484</v>
      </c>
      <c r="F157" s="16" t="s">
        <v>630</v>
      </c>
      <c r="G157" s="16" t="s">
        <v>631</v>
      </c>
      <c r="H157" s="9" t="s">
        <v>632</v>
      </c>
    </row>
    <row r="158" spans="4:8">
      <c r="D158" s="16" t="str">
        <f t="shared" si="5"/>
        <v>3rd GROUP E</v>
      </c>
      <c r="E158" s="16" t="s">
        <v>484</v>
      </c>
      <c r="F158" s="16" t="s">
        <v>633</v>
      </c>
      <c r="G158" s="16" t="s">
        <v>634</v>
      </c>
      <c r="H158" s="9" t="s">
        <v>635</v>
      </c>
    </row>
    <row r="159" spans="4:8">
      <c r="D159" s="16" t="str">
        <f t="shared" si="5"/>
        <v>4th GROUP E</v>
      </c>
      <c r="E159" s="16" t="s">
        <v>484</v>
      </c>
      <c r="F159" s="16" t="s">
        <v>636</v>
      </c>
      <c r="G159" s="16" t="s">
        <v>637</v>
      </c>
      <c r="H159" s="9" t="s">
        <v>638</v>
      </c>
    </row>
    <row r="160" spans="4:8">
      <c r="D160" s="16" t="str">
        <f t="shared" si="5"/>
        <v>1st GROUP F</v>
      </c>
      <c r="E160" s="16" t="s">
        <v>484</v>
      </c>
      <c r="F160" s="16" t="s">
        <v>639</v>
      </c>
      <c r="G160" s="16" t="s">
        <v>640</v>
      </c>
      <c r="H160" s="9" t="s">
        <v>641</v>
      </c>
    </row>
    <row r="161" spans="4:8">
      <c r="D161" s="16" t="str">
        <f t="shared" si="5"/>
        <v>2nd GROUP F</v>
      </c>
      <c r="E161" s="16" t="s">
        <v>484</v>
      </c>
      <c r="F161" s="16" t="s">
        <v>642</v>
      </c>
      <c r="G161" s="16" t="s">
        <v>643</v>
      </c>
      <c r="H161" s="9" t="s">
        <v>644</v>
      </c>
    </row>
    <row r="162" spans="4:8">
      <c r="D162" s="16" t="str">
        <f t="shared" si="5"/>
        <v>3rd GROUP F</v>
      </c>
      <c r="E162" s="16" t="s">
        <v>484</v>
      </c>
      <c r="F162" s="16" t="s">
        <v>645</v>
      </c>
      <c r="G162" s="16" t="s">
        <v>646</v>
      </c>
      <c r="H162" s="9" t="s">
        <v>647</v>
      </c>
    </row>
    <row r="163" spans="4:8">
      <c r="D163" s="16" t="str">
        <f t="shared" si="5"/>
        <v>4th GROUP F</v>
      </c>
      <c r="E163" s="16" t="s">
        <v>484</v>
      </c>
      <c r="F163" s="16" t="s">
        <v>648</v>
      </c>
      <c r="G163" s="16" t="s">
        <v>649</v>
      </c>
      <c r="H163" s="9" t="s">
        <v>650</v>
      </c>
    </row>
    <row r="164" spans="4:8">
      <c r="D164" s="16" t="str">
        <f t="shared" ref="D164:D187" si="6">IF($B$2,G164,H164)</f>
        <v>1st GROUP G</v>
      </c>
      <c r="E164" s="16" t="s">
        <v>484</v>
      </c>
      <c r="G164" s="16" t="s">
        <v>651</v>
      </c>
      <c r="H164" s="9" t="s">
        <v>652</v>
      </c>
    </row>
    <row r="165" spans="4:8">
      <c r="D165" s="16" t="str">
        <f t="shared" si="6"/>
        <v>2nd GROUP G</v>
      </c>
      <c r="E165" s="16" t="s">
        <v>484</v>
      </c>
      <c r="G165" s="16" t="s">
        <v>653</v>
      </c>
      <c r="H165" s="9" t="s">
        <v>654</v>
      </c>
    </row>
    <row r="166" spans="4:8">
      <c r="D166" s="16" t="str">
        <f t="shared" si="6"/>
        <v>3rd GROUP G</v>
      </c>
      <c r="E166" s="16" t="s">
        <v>484</v>
      </c>
      <c r="G166" s="16" t="s">
        <v>655</v>
      </c>
      <c r="H166" s="9" t="s">
        <v>656</v>
      </c>
    </row>
    <row r="167" spans="4:8">
      <c r="D167" s="16" t="str">
        <f t="shared" si="6"/>
        <v>4th GROUP G</v>
      </c>
      <c r="E167" s="16" t="s">
        <v>484</v>
      </c>
      <c r="G167" s="16" t="s">
        <v>657</v>
      </c>
      <c r="H167" s="9" t="s">
        <v>658</v>
      </c>
    </row>
    <row r="168" spans="4:8">
      <c r="D168" s="16" t="str">
        <f t="shared" si="6"/>
        <v>1st GROUP H</v>
      </c>
      <c r="E168" s="16" t="s">
        <v>484</v>
      </c>
      <c r="G168" s="16" t="s">
        <v>659</v>
      </c>
      <c r="H168" s="9" t="s">
        <v>660</v>
      </c>
    </row>
    <row r="169" spans="4:8">
      <c r="D169" s="16" t="str">
        <f t="shared" si="6"/>
        <v>2nd GROUP H</v>
      </c>
      <c r="E169" s="16" t="s">
        <v>484</v>
      </c>
      <c r="G169" s="16" t="s">
        <v>661</v>
      </c>
      <c r="H169" s="9" t="s">
        <v>662</v>
      </c>
    </row>
    <row r="170" spans="4:8">
      <c r="D170" s="16" t="str">
        <f t="shared" si="6"/>
        <v>3rd GROUP H</v>
      </c>
      <c r="E170" s="16" t="s">
        <v>484</v>
      </c>
      <c r="G170" s="16" t="s">
        <v>663</v>
      </c>
      <c r="H170" s="9" t="s">
        <v>664</v>
      </c>
    </row>
    <row r="171" spans="4:8">
      <c r="D171" s="16" t="str">
        <f t="shared" si="6"/>
        <v>4th GROUP H</v>
      </c>
      <c r="E171" s="16" t="s">
        <v>484</v>
      </c>
      <c r="G171" s="16" t="s">
        <v>665</v>
      </c>
      <c r="H171" s="9" t="s">
        <v>666</v>
      </c>
    </row>
    <row r="172" spans="4:8">
      <c r="D172" s="16" t="str">
        <f t="shared" si="6"/>
        <v>1st GROUP I</v>
      </c>
      <c r="E172" s="16" t="s">
        <v>484</v>
      </c>
      <c r="G172" s="16" t="s">
        <v>667</v>
      </c>
      <c r="H172" s="9" t="s">
        <v>668</v>
      </c>
    </row>
    <row r="173" spans="4:8">
      <c r="D173" s="16" t="str">
        <f t="shared" si="6"/>
        <v>2nd GROUP I</v>
      </c>
      <c r="E173" s="16" t="s">
        <v>484</v>
      </c>
      <c r="G173" s="16" t="s">
        <v>669</v>
      </c>
      <c r="H173" s="9" t="s">
        <v>670</v>
      </c>
    </row>
    <row r="174" spans="4:8">
      <c r="D174" s="16" t="str">
        <f t="shared" si="6"/>
        <v>3rd GROUP I</v>
      </c>
      <c r="E174" s="16" t="s">
        <v>484</v>
      </c>
      <c r="G174" s="16" t="s">
        <v>671</v>
      </c>
      <c r="H174" s="9" t="s">
        <v>672</v>
      </c>
    </row>
    <row r="175" spans="4:8">
      <c r="D175" s="16" t="str">
        <f t="shared" si="6"/>
        <v>4th GROUP I</v>
      </c>
      <c r="E175" s="16" t="s">
        <v>484</v>
      </c>
      <c r="G175" s="16" t="s">
        <v>673</v>
      </c>
      <c r="H175" s="9" t="s">
        <v>674</v>
      </c>
    </row>
    <row r="176" spans="4:8">
      <c r="D176" s="16" t="str">
        <f t="shared" si="6"/>
        <v>1st GROUP J</v>
      </c>
      <c r="E176" s="16" t="s">
        <v>484</v>
      </c>
      <c r="G176" s="16" t="s">
        <v>675</v>
      </c>
      <c r="H176" s="9" t="s">
        <v>676</v>
      </c>
    </row>
    <row r="177" spans="4:8">
      <c r="D177" s="16" t="str">
        <f t="shared" si="6"/>
        <v>2nd GROUP J</v>
      </c>
      <c r="E177" s="16" t="s">
        <v>484</v>
      </c>
      <c r="G177" s="16" t="s">
        <v>677</v>
      </c>
      <c r="H177" s="9" t="s">
        <v>678</v>
      </c>
    </row>
    <row r="178" spans="4:8">
      <c r="D178" s="16" t="str">
        <f t="shared" si="6"/>
        <v>3rd GROUP J</v>
      </c>
      <c r="E178" s="16" t="s">
        <v>484</v>
      </c>
      <c r="G178" s="16" t="s">
        <v>679</v>
      </c>
      <c r="H178" s="9" t="s">
        <v>680</v>
      </c>
    </row>
    <row r="179" spans="4:8">
      <c r="D179" s="16" t="str">
        <f t="shared" si="6"/>
        <v>4th GROUP J</v>
      </c>
      <c r="E179" s="16" t="s">
        <v>484</v>
      </c>
      <c r="G179" s="16" t="s">
        <v>681</v>
      </c>
      <c r="H179" s="9" t="s">
        <v>682</v>
      </c>
    </row>
    <row r="180" spans="4:8">
      <c r="D180" s="16" t="str">
        <f t="shared" si="6"/>
        <v>1st GROUP K</v>
      </c>
      <c r="E180" s="16" t="s">
        <v>484</v>
      </c>
      <c r="G180" s="16" t="s">
        <v>683</v>
      </c>
      <c r="H180" s="9" t="s">
        <v>684</v>
      </c>
    </row>
    <row r="181" spans="4:8">
      <c r="D181" s="16" t="str">
        <f t="shared" si="6"/>
        <v>2nd GROUP K</v>
      </c>
      <c r="E181" s="16" t="s">
        <v>484</v>
      </c>
      <c r="G181" s="16" t="s">
        <v>685</v>
      </c>
      <c r="H181" s="9" t="s">
        <v>686</v>
      </c>
    </row>
    <row r="182" spans="4:8">
      <c r="D182" s="16" t="str">
        <f t="shared" si="6"/>
        <v>3rd GROUP K</v>
      </c>
      <c r="E182" s="16" t="s">
        <v>484</v>
      </c>
      <c r="G182" s="16" t="s">
        <v>687</v>
      </c>
      <c r="H182" s="9" t="s">
        <v>688</v>
      </c>
    </row>
    <row r="183" spans="4:8">
      <c r="D183" s="16" t="str">
        <f t="shared" si="6"/>
        <v>4th GROUP K</v>
      </c>
      <c r="E183" s="16" t="s">
        <v>484</v>
      </c>
      <c r="G183" s="16" t="s">
        <v>689</v>
      </c>
      <c r="H183" s="9" t="s">
        <v>690</v>
      </c>
    </row>
    <row r="184" spans="4:8">
      <c r="D184" s="16" t="str">
        <f t="shared" si="6"/>
        <v>1st GROUP L</v>
      </c>
      <c r="E184" s="16" t="s">
        <v>484</v>
      </c>
      <c r="G184" s="16" t="s">
        <v>691</v>
      </c>
      <c r="H184" s="9" t="s">
        <v>692</v>
      </c>
    </row>
    <row r="185" spans="4:8">
      <c r="D185" s="16" t="str">
        <f t="shared" si="6"/>
        <v>2nd GROUP L</v>
      </c>
      <c r="E185" s="16" t="s">
        <v>484</v>
      </c>
      <c r="G185" s="16" t="s">
        <v>693</v>
      </c>
      <c r="H185" s="9" t="s">
        <v>694</v>
      </c>
    </row>
    <row r="186" spans="4:8">
      <c r="D186" s="16" t="str">
        <f t="shared" si="6"/>
        <v>3rd GROUP L</v>
      </c>
      <c r="E186" s="16" t="s">
        <v>484</v>
      </c>
      <c r="G186" s="16" t="s">
        <v>695</v>
      </c>
      <c r="H186" s="9" t="s">
        <v>696</v>
      </c>
    </row>
    <row r="187" spans="4:8">
      <c r="D187" s="16" t="str">
        <f t="shared" si="6"/>
        <v>4th GROUP L</v>
      </c>
      <c r="E187" s="16" t="s">
        <v>484</v>
      </c>
      <c r="G187" s="16" t="s">
        <v>697</v>
      </c>
      <c r="H187" s="9" t="s">
        <v>698</v>
      </c>
    </row>
    <row r="188" spans="4:8">
      <c r="D188" s="16" t="str">
        <f t="shared" si="4"/>
        <v>16-Finalist</v>
      </c>
      <c r="E188" s="16" t="s">
        <v>484</v>
      </c>
      <c r="F188" s="16" t="s">
        <v>699</v>
      </c>
      <c r="G188" s="16" t="s">
        <v>700</v>
      </c>
      <c r="H188" s="9" t="s">
        <v>701</v>
      </c>
    </row>
    <row r="189" spans="4:8">
      <c r="D189" s="16" t="str">
        <f t="shared" si="4"/>
        <v>8-Finalist</v>
      </c>
      <c r="E189" s="16" t="s">
        <v>484</v>
      </c>
      <c r="G189" s="16" t="s">
        <v>702</v>
      </c>
      <c r="H189" s="9" t="s">
        <v>703</v>
      </c>
    </row>
    <row r="190" spans="4:8">
      <c r="D190" s="16" t="str">
        <f t="shared" si="4"/>
        <v>Quarterfinalist</v>
      </c>
      <c r="E190" s="16" t="s">
        <v>484</v>
      </c>
      <c r="F190" s="16" t="s">
        <v>704</v>
      </c>
      <c r="G190" s="16" t="s">
        <v>705</v>
      </c>
      <c r="H190" s="9" t="s">
        <v>706</v>
      </c>
    </row>
    <row r="191" spans="4:8">
      <c r="D191" s="16" t="str">
        <f t="shared" si="4"/>
        <v>Semifinalist</v>
      </c>
      <c r="E191" s="16" t="s">
        <v>484</v>
      </c>
      <c r="F191" s="16" t="s">
        <v>707</v>
      </c>
      <c r="G191" s="16" t="s">
        <v>708</v>
      </c>
      <c r="H191" s="9" t="s">
        <v>709</v>
      </c>
    </row>
    <row r="192" spans="4:8">
      <c r="D192" s="16" t="str">
        <f t="shared" si="4"/>
        <v>3rd-4th place</v>
      </c>
      <c r="E192" s="16" t="s">
        <v>484</v>
      </c>
      <c r="G192" s="16" t="s">
        <v>354</v>
      </c>
      <c r="H192" s="9" t="s">
        <v>355</v>
      </c>
    </row>
    <row r="193" spans="2:11">
      <c r="D193" s="16" t="str">
        <f t="shared" si="4"/>
        <v>Finalist</v>
      </c>
      <c r="E193" s="16" t="s">
        <v>484</v>
      </c>
      <c r="F193" s="16" t="s">
        <v>710</v>
      </c>
      <c r="G193" s="16" t="s">
        <v>711</v>
      </c>
      <c r="H193" s="9" t="s">
        <v>712</v>
      </c>
    </row>
    <row r="197" spans="2:11">
      <c r="J197" s="606"/>
      <c r="K197" s="594"/>
    </row>
    <row r="199" spans="2:11">
      <c r="J199" s="606"/>
    </row>
    <row r="201" spans="2:11">
      <c r="C201" s="16" t="s">
        <v>713</v>
      </c>
    </row>
    <row r="202" spans="2:11">
      <c r="B202" s="16">
        <v>1</v>
      </c>
      <c r="C202" s="16">
        <v>17</v>
      </c>
      <c r="D202" s="16" t="str">
        <f t="shared" ref="D202:D249" ca="1" si="7">IF($B$2,G202,H202)</f>
        <v>Germany</v>
      </c>
      <c r="E202" s="16" t="s">
        <v>714</v>
      </c>
      <c r="F202" s="16" t="s">
        <v>265</v>
      </c>
      <c r="G202" s="16" t="str">
        <f ca="1">Credits!EU6119</f>
        <v>Alemania</v>
      </c>
      <c r="H202" s="16" t="str">
        <f ca="1">Credits!EV6119</f>
        <v>Germany</v>
      </c>
    </row>
    <row r="203" spans="2:11">
      <c r="B203" s="16">
        <v>2</v>
      </c>
      <c r="C203" s="16">
        <v>31</v>
      </c>
      <c r="D203" s="16" t="str">
        <f t="shared" ca="1" si="7"/>
        <v>Saudi Arabia</v>
      </c>
      <c r="E203" s="16" t="s">
        <v>714</v>
      </c>
      <c r="F203" s="16" t="s">
        <v>277</v>
      </c>
      <c r="G203" s="16" t="str">
        <f ca="1">Credits!EU6120</f>
        <v>Arabia Saudita</v>
      </c>
      <c r="H203" s="16" t="str">
        <f ca="1">Credits!EV6120</f>
        <v>Saudi Arabia</v>
      </c>
    </row>
    <row r="204" spans="2:11">
      <c r="B204" s="16">
        <v>3</v>
      </c>
      <c r="C204" s="16">
        <v>38</v>
      </c>
      <c r="D204" s="16" t="str">
        <f t="shared" ca="1" si="7"/>
        <v>Algeria</v>
      </c>
      <c r="E204" s="16" t="s">
        <v>714</v>
      </c>
      <c r="F204" s="16" t="s">
        <v>715</v>
      </c>
      <c r="G204" s="16" t="str">
        <f ca="1">Credits!EU6121</f>
        <v>Argelia</v>
      </c>
      <c r="H204" s="16" t="str">
        <f ca="1">Credits!EV6121</f>
        <v>Algeria</v>
      </c>
    </row>
    <row r="205" spans="2:11">
      <c r="B205" s="16">
        <v>4</v>
      </c>
      <c r="C205" s="16">
        <v>37</v>
      </c>
      <c r="D205" s="16" t="str">
        <f t="shared" ca="1" si="7"/>
        <v>Argentina</v>
      </c>
      <c r="E205" s="16" t="s">
        <v>714</v>
      </c>
      <c r="F205" s="16" t="s">
        <v>716</v>
      </c>
      <c r="G205" s="16" t="str">
        <f ca="1">Credits!EU6122</f>
        <v>Argentina</v>
      </c>
      <c r="H205" s="16" t="str">
        <f ca="1">Credits!EV6122</f>
        <v>Argentina</v>
      </c>
    </row>
    <row r="206" spans="2:11">
      <c r="B206" s="16">
        <v>5</v>
      </c>
      <c r="C206" s="16">
        <v>15</v>
      </c>
      <c r="D206" s="16" t="str">
        <f t="shared" ca="1" si="7"/>
        <v>Australia</v>
      </c>
      <c r="E206" s="16" t="s">
        <v>714</v>
      </c>
      <c r="F206" s="16" t="s">
        <v>717</v>
      </c>
      <c r="G206" s="16" t="str">
        <f ca="1">Credits!EU6123</f>
        <v>Australia</v>
      </c>
      <c r="H206" s="16" t="str">
        <f ca="1">Credits!EV6123</f>
        <v>Australia</v>
      </c>
    </row>
    <row r="207" spans="2:11">
      <c r="B207" s="16">
        <v>6</v>
      </c>
      <c r="C207" s="16">
        <v>39</v>
      </c>
      <c r="D207" s="16" t="str">
        <f t="shared" ca="1" si="7"/>
        <v>Austria</v>
      </c>
      <c r="E207" s="16" t="s">
        <v>714</v>
      </c>
      <c r="F207" s="16" t="s">
        <v>718</v>
      </c>
      <c r="G207" s="16" t="str">
        <f ca="1">Credits!EU6124</f>
        <v>Austria</v>
      </c>
      <c r="H207" s="16" t="str">
        <f ca="1">Credits!EV6124</f>
        <v>Austria</v>
      </c>
    </row>
    <row r="208" spans="2:11">
      <c r="B208" s="16">
        <v>7</v>
      </c>
      <c r="C208" s="16">
        <v>25</v>
      </c>
      <c r="D208" s="16" t="str">
        <f t="shared" ca="1" si="7"/>
        <v>Belgium</v>
      </c>
      <c r="E208" s="16" t="s">
        <v>714</v>
      </c>
      <c r="F208" s="16" t="s">
        <v>719</v>
      </c>
      <c r="G208" s="16" t="str">
        <f ca="1">Credits!EU6125</f>
        <v>Bélgica</v>
      </c>
      <c r="H208" s="16" t="str">
        <f ca="1">Credits!EV6125</f>
        <v>Belgium</v>
      </c>
    </row>
    <row r="209" spans="2:8">
      <c r="B209" s="16">
        <v>8</v>
      </c>
      <c r="C209" s="16">
        <v>9</v>
      </c>
      <c r="D209" s="16" t="str">
        <f t="shared" ca="1" si="7"/>
        <v>Brazil</v>
      </c>
      <c r="E209" s="16" t="s">
        <v>714</v>
      </c>
      <c r="F209" s="16" t="s">
        <v>720</v>
      </c>
      <c r="G209" s="16" t="str">
        <f ca="1">Credits!EU6126</f>
        <v>Brasil</v>
      </c>
      <c r="H209" s="16" t="str">
        <f ca="1">Credits!EV6126</f>
        <v>Brazil</v>
      </c>
    </row>
    <row r="210" spans="2:8">
      <c r="B210" s="16">
        <v>9</v>
      </c>
      <c r="C210" s="16">
        <v>30</v>
      </c>
      <c r="D210" s="16" t="str">
        <f t="shared" ca="1" si="7"/>
        <v>Cape Verde</v>
      </c>
      <c r="E210" s="16" t="s">
        <v>714</v>
      </c>
      <c r="F210" s="16" t="s">
        <v>721</v>
      </c>
      <c r="G210" s="16" t="str">
        <f ca="1">Credits!EU6127</f>
        <v>Cabo Verde</v>
      </c>
      <c r="H210" s="16" t="str">
        <f ca="1">Credits!EV6127</f>
        <v>Cape Verde</v>
      </c>
    </row>
    <row r="211" spans="2:8">
      <c r="B211" s="16">
        <v>10</v>
      </c>
      <c r="C211" s="16">
        <v>5</v>
      </c>
      <c r="D211" s="16" t="str">
        <f t="shared" ca="1" si="7"/>
        <v>Canada</v>
      </c>
      <c r="E211" s="16" t="s">
        <v>714</v>
      </c>
      <c r="F211" s="16" t="s">
        <v>722</v>
      </c>
      <c r="G211" s="16" t="str">
        <f ca="1">Credits!EU6128</f>
        <v>Canadá</v>
      </c>
      <c r="H211" s="16" t="str">
        <f ca="1">Credits!EV6128</f>
        <v>Canada</v>
      </c>
    </row>
    <row r="212" spans="2:8">
      <c r="B212" s="16">
        <v>11</v>
      </c>
      <c r="C212" s="16">
        <v>7</v>
      </c>
      <c r="D212" s="16" t="str">
        <f t="shared" ca="1" si="7"/>
        <v>Qatar</v>
      </c>
      <c r="E212" s="16" t="s">
        <v>714</v>
      </c>
      <c r="F212" s="16" t="s">
        <v>723</v>
      </c>
      <c r="G212" s="16" t="str">
        <f ca="1">Credits!EU6129</f>
        <v>Catar</v>
      </c>
      <c r="H212" s="16" t="str">
        <f ca="1">Credits!EV6129</f>
        <v>Qatar</v>
      </c>
    </row>
    <row r="213" spans="2:8">
      <c r="B213" s="16">
        <v>12</v>
      </c>
      <c r="C213" s="16">
        <v>44</v>
      </c>
      <c r="D213" s="16" t="str">
        <f t="shared" ca="1" si="7"/>
        <v>Colombia</v>
      </c>
      <c r="E213" s="16" t="s">
        <v>714</v>
      </c>
      <c r="F213" s="16" t="s">
        <v>724</v>
      </c>
      <c r="G213" s="16" t="str">
        <f ca="1">Credits!EU6130</f>
        <v>Colombia</v>
      </c>
      <c r="H213" s="16" t="str">
        <f ca="1">Credits!EV6130</f>
        <v>Colombia</v>
      </c>
    </row>
    <row r="214" spans="2:8">
      <c r="B214" s="16">
        <v>13</v>
      </c>
      <c r="C214" s="16">
        <v>3</v>
      </c>
      <c r="D214" s="16" t="str">
        <f t="shared" ca="1" si="7"/>
        <v>South Korea</v>
      </c>
      <c r="E214" s="16" t="s">
        <v>714</v>
      </c>
      <c r="F214" s="16" t="s">
        <v>725</v>
      </c>
      <c r="G214" s="16" t="str">
        <f ca="1">Credits!EU6131</f>
        <v>Corea del Sur</v>
      </c>
      <c r="H214" s="16" t="str">
        <f ca="1">Credits!EV6131</f>
        <v>South Korea</v>
      </c>
    </row>
    <row r="215" spans="2:8">
      <c r="B215" s="16">
        <v>14</v>
      </c>
      <c r="C215" s="16">
        <v>19</v>
      </c>
      <c r="D215" s="16" t="str">
        <f t="shared" ca="1" si="7"/>
        <v>Ivory Coast</v>
      </c>
      <c r="E215" s="16" t="s">
        <v>714</v>
      </c>
      <c r="F215" s="16" t="s">
        <v>726</v>
      </c>
      <c r="G215" s="16" t="str">
        <f ca="1">Credits!EU6132</f>
        <v>Costa de Marfil</v>
      </c>
      <c r="H215" s="16" t="str">
        <f ca="1">Credits!EV6132</f>
        <v>Ivory Coast</v>
      </c>
    </row>
    <row r="216" spans="2:8">
      <c r="B216" s="16">
        <v>15</v>
      </c>
      <c r="C216" s="16">
        <v>46</v>
      </c>
      <c r="D216" s="16" t="str">
        <f t="shared" ca="1" si="7"/>
        <v>Croatia</v>
      </c>
      <c r="E216" s="16" t="s">
        <v>714</v>
      </c>
      <c r="F216" s="16" t="s">
        <v>727</v>
      </c>
      <c r="G216" s="16" t="str">
        <f ca="1">Credits!EU6133</f>
        <v>Croacia</v>
      </c>
      <c r="H216" s="16" t="str">
        <f ca="1">Credits!EV6133</f>
        <v>Croatia</v>
      </c>
    </row>
    <row r="217" spans="2:8">
      <c r="B217" s="16">
        <v>16</v>
      </c>
      <c r="C217" s="16">
        <v>18</v>
      </c>
      <c r="D217" s="16" t="str">
        <f t="shared" ca="1" si="7"/>
        <v>Curaçao</v>
      </c>
      <c r="E217" s="16" t="s">
        <v>714</v>
      </c>
      <c r="F217" s="16" t="s">
        <v>728</v>
      </c>
      <c r="G217" s="16" t="str">
        <f ca="1">Credits!EU6134</f>
        <v>Curazao</v>
      </c>
      <c r="H217" s="16" t="str">
        <f ca="1">Credits!EV6134</f>
        <v>Curaçao</v>
      </c>
    </row>
    <row r="218" spans="2:8">
      <c r="B218" s="16">
        <v>17</v>
      </c>
      <c r="C218" s="16">
        <v>20</v>
      </c>
      <c r="D218" s="16" t="str">
        <f t="shared" ca="1" si="7"/>
        <v>Ecuador</v>
      </c>
      <c r="E218" s="16" t="s">
        <v>714</v>
      </c>
      <c r="F218" s="16" t="s">
        <v>729</v>
      </c>
      <c r="G218" s="16" t="str">
        <f ca="1">Credits!EU6135</f>
        <v>Ecuador</v>
      </c>
      <c r="H218" s="16" t="str">
        <f ca="1">Credits!EV6135</f>
        <v>Ecuador</v>
      </c>
    </row>
    <row r="219" spans="2:8">
      <c r="B219" s="16">
        <v>18</v>
      </c>
      <c r="C219" s="16">
        <v>26</v>
      </c>
      <c r="D219" s="16" t="str">
        <f t="shared" ca="1" si="7"/>
        <v>Egypt</v>
      </c>
      <c r="E219" s="16" t="s">
        <v>714</v>
      </c>
      <c r="F219" s="16" t="s">
        <v>730</v>
      </c>
      <c r="G219" s="16" t="str">
        <f ca="1">Credits!EU6136</f>
        <v>Egipto</v>
      </c>
      <c r="H219" s="16" t="str">
        <f ca="1">Credits!EV6136</f>
        <v>Egypt</v>
      </c>
    </row>
    <row r="220" spans="2:8">
      <c r="B220" s="16">
        <v>19</v>
      </c>
      <c r="C220" s="16">
        <v>12</v>
      </c>
      <c r="D220" s="16" t="str">
        <f t="shared" ca="1" si="7"/>
        <v>Scotland</v>
      </c>
      <c r="E220" s="16" t="s">
        <v>714</v>
      </c>
      <c r="F220" s="16" t="s">
        <v>731</v>
      </c>
      <c r="G220" s="16" t="str">
        <f ca="1">Credits!EU6137</f>
        <v>Escocia</v>
      </c>
      <c r="H220" s="16" t="str">
        <f ca="1">Credits!EV6137</f>
        <v>Scotland</v>
      </c>
    </row>
    <row r="221" spans="2:8">
      <c r="B221" s="16">
        <v>20</v>
      </c>
      <c r="C221" s="16">
        <v>29</v>
      </c>
      <c r="D221" s="16" t="str">
        <f t="shared" ca="1" si="7"/>
        <v>Spain</v>
      </c>
      <c r="E221" s="16" t="s">
        <v>714</v>
      </c>
      <c r="F221" s="16" t="s">
        <v>732</v>
      </c>
      <c r="G221" s="16" t="str">
        <f ca="1">Credits!EU6138</f>
        <v>España</v>
      </c>
      <c r="H221" s="16" t="str">
        <f ca="1">Credits!EV6138</f>
        <v>Spain</v>
      </c>
    </row>
    <row r="222" spans="2:8">
      <c r="B222" s="16">
        <v>21</v>
      </c>
      <c r="C222" s="16">
        <v>13</v>
      </c>
      <c r="D222" s="16" t="str">
        <f t="shared" ca="1" si="7"/>
        <v>United States</v>
      </c>
      <c r="E222" s="16" t="s">
        <v>714</v>
      </c>
      <c r="F222" s="16" t="s">
        <v>733</v>
      </c>
      <c r="G222" s="16" t="str">
        <f ca="1">Credits!EU6139</f>
        <v>Estados Unidos</v>
      </c>
      <c r="H222" s="16" t="str">
        <f ca="1">Credits!EV6139</f>
        <v>United States</v>
      </c>
    </row>
    <row r="223" spans="2:8">
      <c r="B223" s="16">
        <v>22</v>
      </c>
      <c r="C223" s="16">
        <v>33</v>
      </c>
      <c r="D223" s="16" t="str">
        <f t="shared" ca="1" si="7"/>
        <v>France</v>
      </c>
      <c r="E223" s="16" t="s">
        <v>714</v>
      </c>
      <c r="F223" s="16" t="s">
        <v>734</v>
      </c>
      <c r="G223" s="16" t="str">
        <f ca="1">Credits!EU6140</f>
        <v>Francia</v>
      </c>
      <c r="H223" s="16" t="str">
        <f ca="1">Credits!EV6140</f>
        <v>France</v>
      </c>
    </row>
    <row r="224" spans="2:8">
      <c r="B224" s="16">
        <v>23</v>
      </c>
      <c r="C224" s="16">
        <v>47</v>
      </c>
      <c r="D224" s="16" t="str">
        <f t="shared" ca="1" si="7"/>
        <v>Ghana</v>
      </c>
      <c r="E224" s="16" t="s">
        <v>714</v>
      </c>
      <c r="F224" s="16" t="s">
        <v>735</v>
      </c>
      <c r="G224" s="16" t="str">
        <f ca="1">Credits!EU6141</f>
        <v>Ghana</v>
      </c>
      <c r="H224" s="16" t="str">
        <f ca="1">Credits!EV6141</f>
        <v>Ghana</v>
      </c>
    </row>
    <row r="225" spans="2:8">
      <c r="B225" s="16">
        <v>24</v>
      </c>
      <c r="C225" s="16">
        <v>11</v>
      </c>
      <c r="D225" s="16" t="str">
        <f t="shared" ca="1" si="7"/>
        <v>Haiti</v>
      </c>
      <c r="E225" s="16" t="s">
        <v>714</v>
      </c>
      <c r="F225" s="16" t="s">
        <v>736</v>
      </c>
      <c r="G225" s="16" t="str">
        <f ca="1">Credits!EU6142</f>
        <v>Haití</v>
      </c>
      <c r="H225" s="16" t="str">
        <f ca="1">Credits!EV6142</f>
        <v>Haiti</v>
      </c>
    </row>
    <row r="226" spans="2:8">
      <c r="B226" s="16">
        <v>25</v>
      </c>
      <c r="C226" s="16">
        <v>45</v>
      </c>
      <c r="D226" s="16" t="str">
        <f t="shared" ca="1" si="7"/>
        <v>England</v>
      </c>
      <c r="E226" s="16" t="s">
        <v>714</v>
      </c>
      <c r="F226" s="16" t="s">
        <v>737</v>
      </c>
      <c r="G226" s="16" t="str">
        <f ca="1">Credits!EU6143</f>
        <v>Inglaterra</v>
      </c>
      <c r="H226" s="16" t="str">
        <f ca="1">Credits!EV6143</f>
        <v>England</v>
      </c>
    </row>
    <row r="227" spans="2:8">
      <c r="B227" s="16">
        <v>26</v>
      </c>
      <c r="C227" s="16">
        <v>27</v>
      </c>
      <c r="D227" s="16" t="str">
        <f t="shared" ca="1" si="7"/>
        <v>Iran</v>
      </c>
      <c r="E227" s="16" t="s">
        <v>714</v>
      </c>
      <c r="F227" s="16" t="s">
        <v>738</v>
      </c>
      <c r="G227" s="16" t="str">
        <f ca="1">Credits!EU6144</f>
        <v>Irán</v>
      </c>
      <c r="H227" s="16" t="str">
        <f ca="1">Credits!EV6144</f>
        <v>Iran</v>
      </c>
    </row>
    <row r="228" spans="2:8">
      <c r="B228" s="16">
        <v>27</v>
      </c>
      <c r="C228" s="16">
        <v>22</v>
      </c>
      <c r="D228" s="16" t="str">
        <f t="shared" ca="1" si="7"/>
        <v>Japan</v>
      </c>
      <c r="E228" s="16" t="s">
        <v>714</v>
      </c>
      <c r="F228" s="16" t="s">
        <v>739</v>
      </c>
      <c r="G228" s="16" t="str">
        <f ca="1">Credits!EU6145</f>
        <v>Japón</v>
      </c>
      <c r="H228" s="16" t="str">
        <f ca="1">Credits!EV6145</f>
        <v>Japan</v>
      </c>
    </row>
    <row r="229" spans="2:8">
      <c r="B229" s="16">
        <v>28</v>
      </c>
      <c r="C229" s="16">
        <v>40</v>
      </c>
      <c r="D229" s="16" t="str">
        <f t="shared" ca="1" si="7"/>
        <v>Jordan</v>
      </c>
      <c r="E229" s="16" t="s">
        <v>714</v>
      </c>
      <c r="F229" s="16" t="s">
        <v>740</v>
      </c>
      <c r="G229" s="16" t="str">
        <f ca="1">Credits!EU6146</f>
        <v>Jordania</v>
      </c>
      <c r="H229" s="16" t="str">
        <f ca="1">Credits!EV6146</f>
        <v>Jordan</v>
      </c>
    </row>
    <row r="230" spans="2:8">
      <c r="B230" s="16">
        <v>29</v>
      </c>
      <c r="C230" s="16">
        <v>10</v>
      </c>
      <c r="D230" s="16" t="str">
        <f t="shared" ca="1" si="7"/>
        <v>Morocco</v>
      </c>
      <c r="E230" s="16" t="s">
        <v>714</v>
      </c>
      <c r="F230" s="16" t="s">
        <v>741</v>
      </c>
      <c r="G230" s="16" t="str">
        <f ca="1">Credits!EU6147</f>
        <v>Marruecos</v>
      </c>
      <c r="H230" s="16" t="str">
        <f ca="1">Credits!EV6147</f>
        <v>Morocco</v>
      </c>
    </row>
    <row r="231" spans="2:8">
      <c r="B231" s="16">
        <v>30</v>
      </c>
      <c r="C231" s="16">
        <v>1</v>
      </c>
      <c r="D231" s="16" t="str">
        <f t="shared" ca="1" si="7"/>
        <v>Mexico</v>
      </c>
      <c r="E231" s="16" t="s">
        <v>714</v>
      </c>
      <c r="F231" s="16" t="s">
        <v>742</v>
      </c>
      <c r="G231" s="16" t="str">
        <f ca="1">Credits!EU6148</f>
        <v>México</v>
      </c>
      <c r="H231" s="16" t="str">
        <f ca="1">Credits!EV6148</f>
        <v>Mexico</v>
      </c>
    </row>
    <row r="232" spans="2:8">
      <c r="B232" s="16">
        <v>31</v>
      </c>
      <c r="C232" s="16">
        <v>36</v>
      </c>
      <c r="D232" s="16" t="str">
        <f t="shared" ca="1" si="7"/>
        <v>Norway</v>
      </c>
      <c r="E232" s="16" t="s">
        <v>714</v>
      </c>
      <c r="F232" s="16" t="s">
        <v>743</v>
      </c>
      <c r="G232" s="16" t="str">
        <f ca="1">Credits!EU6149</f>
        <v>Noruega</v>
      </c>
      <c r="H232" s="16" t="str">
        <f ca="1">Credits!EV6149</f>
        <v>Norway</v>
      </c>
    </row>
    <row r="233" spans="2:8">
      <c r="B233" s="16">
        <v>32</v>
      </c>
      <c r="C233" s="16">
        <v>28</v>
      </c>
      <c r="D233" s="16" t="str">
        <f t="shared" ca="1" si="7"/>
        <v>New Zealand</v>
      </c>
      <c r="E233" s="16" t="s">
        <v>714</v>
      </c>
      <c r="F233" s="16" t="s">
        <v>744</v>
      </c>
      <c r="G233" s="16" t="str">
        <f ca="1">Credits!EU6150</f>
        <v>Nueva Zelanda</v>
      </c>
      <c r="H233" s="16" t="str">
        <f ca="1">Credits!EV6150</f>
        <v>New Zealand</v>
      </c>
    </row>
    <row r="234" spans="2:8">
      <c r="B234" s="16">
        <v>33</v>
      </c>
      <c r="C234" s="16">
        <v>21</v>
      </c>
      <c r="D234" s="16" t="str">
        <f t="shared" ca="1" si="7"/>
        <v>Netherlands</v>
      </c>
      <c r="E234" s="16" t="s">
        <v>714</v>
      </c>
      <c r="F234" s="16" t="s">
        <v>745</v>
      </c>
      <c r="G234" s="16" t="str">
        <f ca="1">Credits!EU6151</f>
        <v>Países Bajos</v>
      </c>
      <c r="H234" s="16" t="str">
        <f ca="1">Credits!EV6151</f>
        <v>Netherlands</v>
      </c>
    </row>
    <row r="235" spans="2:8">
      <c r="B235" s="16">
        <v>34</v>
      </c>
      <c r="C235" s="16">
        <v>48</v>
      </c>
      <c r="D235" s="16" t="str">
        <f t="shared" ca="1" si="7"/>
        <v>Panama</v>
      </c>
      <c r="E235" s="16" t="s">
        <v>714</v>
      </c>
      <c r="F235" s="16" t="s">
        <v>746</v>
      </c>
      <c r="G235" s="16" t="str">
        <f ca="1">Credits!EU6152</f>
        <v>Panamá</v>
      </c>
      <c r="H235" s="16" t="str">
        <f ca="1">Credits!EV6152</f>
        <v>Panama</v>
      </c>
    </row>
    <row r="236" spans="2:8">
      <c r="B236" s="16">
        <v>35</v>
      </c>
      <c r="C236" s="16">
        <v>14</v>
      </c>
      <c r="D236" s="16" t="str">
        <f t="shared" ca="1" si="7"/>
        <v>Paraguay</v>
      </c>
      <c r="E236" s="16" t="s">
        <v>714</v>
      </c>
      <c r="F236" s="16" t="s">
        <v>747</v>
      </c>
      <c r="G236" s="16" t="str">
        <f ca="1">Credits!EU6153</f>
        <v>Paraguay</v>
      </c>
      <c r="H236" s="16" t="str">
        <f ca="1">Credits!EV6153</f>
        <v>Paraguay</v>
      </c>
    </row>
    <row r="237" spans="2:8">
      <c r="B237" s="16">
        <v>36</v>
      </c>
      <c r="C237" s="16">
        <v>41</v>
      </c>
      <c r="D237" s="16" t="str">
        <f t="shared" ca="1" si="7"/>
        <v>Portugal</v>
      </c>
      <c r="E237" s="16" t="s">
        <v>714</v>
      </c>
      <c r="F237" s="16" t="s">
        <v>748</v>
      </c>
      <c r="G237" s="16" t="str">
        <f ca="1">Credits!EU6154</f>
        <v>Portugal</v>
      </c>
      <c r="H237" s="16" t="str">
        <f ca="1">Credits!EV6154</f>
        <v>Portugal</v>
      </c>
    </row>
    <row r="238" spans="2:8">
      <c r="B238" s="16">
        <v>37</v>
      </c>
      <c r="C238" s="16">
        <v>34</v>
      </c>
      <c r="D238" s="16" t="str">
        <f t="shared" ca="1" si="7"/>
        <v>Senegal</v>
      </c>
      <c r="E238" s="16" t="s">
        <v>714</v>
      </c>
      <c r="F238" s="16" t="s">
        <v>749</v>
      </c>
      <c r="G238" s="16" t="str">
        <f ca="1">Credits!EU6155</f>
        <v>Senegal</v>
      </c>
      <c r="H238" s="16" t="str">
        <f ca="1">Credits!EV6155</f>
        <v>Senegal</v>
      </c>
    </row>
    <row r="239" spans="2:8">
      <c r="B239" s="16">
        <v>38</v>
      </c>
      <c r="C239" s="16">
        <v>2</v>
      </c>
      <c r="D239" s="16" t="str">
        <f t="shared" ca="1" si="7"/>
        <v>South Africa</v>
      </c>
      <c r="E239" s="16" t="s">
        <v>714</v>
      </c>
      <c r="F239" s="16" t="s">
        <v>750</v>
      </c>
      <c r="G239" s="16" t="str">
        <f ca="1">Credits!EU6156</f>
        <v>Sudáfrica</v>
      </c>
      <c r="H239" s="16" t="str">
        <f ca="1">Credits!EV6156</f>
        <v>South Africa</v>
      </c>
    </row>
    <row r="240" spans="2:8">
      <c r="B240" s="16">
        <v>39</v>
      </c>
      <c r="C240" s="16">
        <v>8</v>
      </c>
      <c r="D240" s="16" t="str">
        <f t="shared" ca="1" si="7"/>
        <v>Switzerland</v>
      </c>
      <c r="E240" s="16" t="s">
        <v>714</v>
      </c>
      <c r="F240" s="16" t="s">
        <v>751</v>
      </c>
      <c r="G240" s="16" t="str">
        <f ca="1">Credits!EU6157</f>
        <v>Suiza</v>
      </c>
      <c r="H240" s="16" t="str">
        <f ca="1">Credits!EV6157</f>
        <v>Switzerland</v>
      </c>
    </row>
    <row r="241" spans="2:8">
      <c r="B241" s="16">
        <v>40</v>
      </c>
      <c r="C241" s="16">
        <v>24</v>
      </c>
      <c r="D241" s="16" t="str">
        <f t="shared" ca="1" si="7"/>
        <v>Tunisia</v>
      </c>
      <c r="E241" s="16" t="s">
        <v>714</v>
      </c>
      <c r="F241" s="16" t="s">
        <v>752</v>
      </c>
      <c r="G241" s="16" t="str">
        <f ca="1">Credits!EU6158</f>
        <v>Túnez</v>
      </c>
      <c r="H241" s="16" t="str">
        <f ca="1">Credits!EV6158</f>
        <v>Tunisia</v>
      </c>
    </row>
    <row r="242" spans="2:8">
      <c r="B242" s="16">
        <v>41</v>
      </c>
      <c r="C242" s="16">
        <v>32</v>
      </c>
      <c r="D242" s="16" t="str">
        <f t="shared" ca="1" si="7"/>
        <v>Uruguay</v>
      </c>
      <c r="E242" s="16" t="s">
        <v>714</v>
      </c>
      <c r="F242" s="16" t="s">
        <v>753</v>
      </c>
      <c r="G242" s="16" t="str">
        <f ca="1">Credits!EU6159</f>
        <v>Uruguay</v>
      </c>
      <c r="H242" s="16" t="str">
        <f ca="1">Credits!EV6159</f>
        <v>Uruguay</v>
      </c>
    </row>
    <row r="243" spans="2:8">
      <c r="B243" s="16">
        <v>42</v>
      </c>
      <c r="C243" s="16">
        <v>43</v>
      </c>
      <c r="D243" s="16" t="str">
        <f t="shared" ca="1" si="7"/>
        <v>Uzbekistan</v>
      </c>
      <c r="E243" s="16" t="s">
        <v>714</v>
      </c>
      <c r="F243" s="16" t="s">
        <v>754</v>
      </c>
      <c r="G243" s="16" t="str">
        <f ca="1">Credits!EU6160</f>
        <v>Uzbekistán</v>
      </c>
      <c r="H243" s="16" t="str">
        <f ca="1">Credits!EV6160</f>
        <v>Uzbekistan</v>
      </c>
    </row>
    <row r="244" spans="2:8">
      <c r="B244" s="16">
        <v>43</v>
      </c>
      <c r="C244" s="16">
        <v>42</v>
      </c>
      <c r="D244" s="16" t="str">
        <f t="shared" ca="1" si="7"/>
        <v>DR Congo</v>
      </c>
      <c r="E244" s="16" t="s">
        <v>714</v>
      </c>
      <c r="F244" s="16" t="s">
        <v>755</v>
      </c>
      <c r="G244" s="16" t="str">
        <f ca="1">Credits!EU6161</f>
        <v>RD Congo</v>
      </c>
      <c r="H244" s="16" t="str">
        <f ca="1">Credits!EV6161</f>
        <v>DR Congo</v>
      </c>
    </row>
    <row r="245" spans="2:8">
      <c r="B245" s="16">
        <v>44</v>
      </c>
      <c r="C245" s="16">
        <v>35</v>
      </c>
      <c r="D245" s="16" t="str">
        <f t="shared" ca="1" si="7"/>
        <v>Iraq</v>
      </c>
      <c r="E245" s="16" t="s">
        <v>714</v>
      </c>
      <c r="F245" s="16" t="s">
        <v>756</v>
      </c>
      <c r="G245" s="16" t="str">
        <f ca="1">Credits!EU6162</f>
        <v>Irak</v>
      </c>
      <c r="H245" s="16" t="str">
        <f ca="1">Credits!EV6162</f>
        <v>Iraq</v>
      </c>
    </row>
    <row r="246" spans="2:8">
      <c r="B246" s="16">
        <v>45</v>
      </c>
      <c r="C246" s="16">
        <v>6</v>
      </c>
      <c r="D246" s="16" t="str">
        <f t="shared" ca="1" si="7"/>
        <v>Bosnia and Herzegovina</v>
      </c>
      <c r="E246" s="16" t="s">
        <v>714</v>
      </c>
      <c r="F246" s="16" t="s">
        <v>757</v>
      </c>
      <c r="G246" s="16" t="str">
        <f ca="1">Credits!EU6163</f>
        <v>Bosnia y Herzegovina</v>
      </c>
      <c r="H246" s="16" t="str">
        <f ca="1">Credits!EV6163</f>
        <v>Bosnia and Herzegovina</v>
      </c>
    </row>
    <row r="247" spans="2:8">
      <c r="B247" s="16">
        <v>46</v>
      </c>
      <c r="C247" s="16">
        <v>23</v>
      </c>
      <c r="D247" s="16" t="str">
        <f t="shared" ca="1" si="7"/>
        <v>Sweden</v>
      </c>
      <c r="E247" s="16" t="s">
        <v>714</v>
      </c>
      <c r="F247" s="16" t="s">
        <v>758</v>
      </c>
      <c r="G247" s="16" t="str">
        <f ca="1">Credits!EU6164</f>
        <v>Suecia</v>
      </c>
      <c r="H247" s="16" t="str">
        <f ca="1">Credits!EV6164</f>
        <v>Sweden</v>
      </c>
    </row>
    <row r="248" spans="2:8">
      <c r="B248" s="16">
        <v>47</v>
      </c>
      <c r="C248" s="16">
        <v>16</v>
      </c>
      <c r="D248" s="16" t="str">
        <f t="shared" ca="1" si="7"/>
        <v>Turkey</v>
      </c>
      <c r="E248" s="16" t="s">
        <v>714</v>
      </c>
      <c r="F248" s="16" t="s">
        <v>759</v>
      </c>
      <c r="G248" s="16" t="str">
        <f ca="1">Credits!EU6165</f>
        <v>Turquía</v>
      </c>
      <c r="H248" s="16" t="str">
        <f ca="1">Credits!EV6165</f>
        <v>Turkey</v>
      </c>
    </row>
    <row r="249" spans="2:8">
      <c r="B249" s="16">
        <v>48</v>
      </c>
      <c r="C249" s="16">
        <v>4</v>
      </c>
      <c r="D249" s="16" t="str">
        <f t="shared" ca="1" si="7"/>
        <v>Czech Republic</v>
      </c>
      <c r="E249" s="16" t="s">
        <v>714</v>
      </c>
      <c r="F249" s="16" t="s">
        <v>760</v>
      </c>
      <c r="G249" s="16" t="str">
        <f ca="1">Credits!EU6166</f>
        <v>República Checa</v>
      </c>
      <c r="H249" s="16" t="str">
        <f ca="1">Credits!EV6166</f>
        <v>Czech Republic</v>
      </c>
    </row>
    <row r="252" spans="2:8">
      <c r="C252" s="16" t="s">
        <v>761</v>
      </c>
      <c r="D252" s="16" t="str">
        <f t="shared" ref="D252" si="8">IF($B$2,G252,H252)</f>
        <v>United States</v>
      </c>
      <c r="E252" s="16" t="s">
        <v>762</v>
      </c>
      <c r="F252" s="16" t="s">
        <v>763</v>
      </c>
      <c r="G252" s="16" t="s">
        <v>764</v>
      </c>
      <c r="H252" s="16" t="s">
        <v>765</v>
      </c>
    </row>
    <row r="255" spans="2:8">
      <c r="D255" s="16" t="str">
        <f t="shared" ref="D255:D270" si="9">IF($B$2,G255,H255)</f>
        <v>Winner</v>
      </c>
      <c r="E255" s="16" t="s">
        <v>766</v>
      </c>
      <c r="G255" s="16" t="s">
        <v>362</v>
      </c>
      <c r="H255" s="582" t="s">
        <v>363</v>
      </c>
    </row>
    <row r="256" spans="2:8">
      <c r="D256" s="16" t="str">
        <f t="shared" si="9"/>
        <v>Runner-up</v>
      </c>
      <c r="E256" s="16" t="s">
        <v>766</v>
      </c>
      <c r="G256" s="16" t="s">
        <v>365</v>
      </c>
      <c r="H256" s="16" t="s">
        <v>366</v>
      </c>
    </row>
    <row r="257" spans="4:8">
      <c r="D257" s="16" t="str">
        <f t="shared" si="9"/>
        <v>3rd place</v>
      </c>
      <c r="E257" s="16" t="s">
        <v>766</v>
      </c>
      <c r="G257" s="16" t="s">
        <v>367</v>
      </c>
      <c r="H257" s="16" t="s">
        <v>368</v>
      </c>
    </row>
    <row r="258" spans="4:8">
      <c r="D258" s="16" t="str">
        <f t="shared" si="9"/>
        <v>Semifinals</v>
      </c>
      <c r="E258" s="16" t="s">
        <v>766</v>
      </c>
      <c r="G258" s="16" t="s">
        <v>352</v>
      </c>
      <c r="H258" s="582" t="s">
        <v>353</v>
      </c>
    </row>
    <row r="259" spans="4:8">
      <c r="D259" s="16" t="str">
        <f t="shared" si="9"/>
        <v>Quarterfinals</v>
      </c>
      <c r="E259" s="16" t="s">
        <v>766</v>
      </c>
      <c r="G259" s="16" t="s">
        <v>349</v>
      </c>
      <c r="H259" s="582" t="s">
        <v>350</v>
      </c>
    </row>
    <row r="260" spans="4:8">
      <c r="D260" s="16" t="str">
        <f t="shared" si="9"/>
        <v>Round of 16</v>
      </c>
      <c r="E260" s="16" t="s">
        <v>766</v>
      </c>
      <c r="G260" s="16" t="s">
        <v>346</v>
      </c>
      <c r="H260" s="582" t="s">
        <v>347</v>
      </c>
    </row>
    <row r="261" spans="4:8">
      <c r="D261" s="16" t="str">
        <f t="shared" si="9"/>
        <v>Round of 32</v>
      </c>
      <c r="E261" s="16" t="s">
        <v>766</v>
      </c>
      <c r="G261" s="16" t="s">
        <v>343</v>
      </c>
      <c r="H261" s="16" t="s">
        <v>344</v>
      </c>
    </row>
    <row r="262" spans="4:8">
      <c r="D262" s="16" t="str">
        <f t="shared" si="9"/>
        <v>Group stage</v>
      </c>
      <c r="E262" s="16" t="s">
        <v>766</v>
      </c>
      <c r="G262" s="16" t="s">
        <v>767</v>
      </c>
      <c r="H262" s="582" t="s">
        <v>768</v>
      </c>
    </row>
    <row r="263" spans="4:8">
      <c r="D263" s="16" t="str">
        <f t="shared" si="9"/>
        <v>Predict the round</v>
      </c>
      <c r="E263" s="16" t="s">
        <v>766</v>
      </c>
      <c r="G263" s="582" t="s">
        <v>769</v>
      </c>
      <c r="H263" s="582" t="s">
        <v>770</v>
      </c>
    </row>
    <row r="264" spans="4:8">
      <c r="D264" s="16" t="str">
        <f t="shared" si="9"/>
        <v>Predict nation</v>
      </c>
      <c r="E264" s="16" t="s">
        <v>766</v>
      </c>
      <c r="G264" s="582" t="s">
        <v>771</v>
      </c>
      <c r="H264" s="582" t="s">
        <v>772</v>
      </c>
    </row>
    <row r="265" spans="4:8">
      <c r="D265" s="16" t="str">
        <f t="shared" si="9"/>
        <v>Round</v>
      </c>
      <c r="E265" s="16" t="s">
        <v>766</v>
      </c>
      <c r="G265" s="582" t="s">
        <v>773</v>
      </c>
      <c r="H265" s="582" t="s">
        <v>774</v>
      </c>
    </row>
    <row r="266" spans="4:8">
      <c r="D266" s="16" t="str">
        <f t="shared" si="9"/>
        <v>·Select for each round the nation or nations that you think will reach that round.</v>
      </c>
      <c r="E266" s="16" t="s">
        <v>766</v>
      </c>
      <c r="G266" s="16" t="s">
        <v>775</v>
      </c>
      <c r="H266" s="582" t="s">
        <v>776</v>
      </c>
    </row>
    <row r="267" spans="4:8">
      <c r="D267" s="16" t="str">
        <f t="shared" si="9"/>
        <v>·Once you select a nation, it will no longer appear in the selector.</v>
      </c>
      <c r="E267" s="16" t="s">
        <v>766</v>
      </c>
      <c r="G267" s="16" t="s">
        <v>777</v>
      </c>
      <c r="H267" s="582" t="s">
        <v>778</v>
      </c>
    </row>
    <row r="268" spans="4:8">
      <c r="D268" s="16" t="str">
        <f t="shared" si="9"/>
        <v>·If you've filled everything out and want to make a change,</v>
      </c>
      <c r="E268" s="16" t="s">
        <v>766</v>
      </c>
      <c r="G268" s="16" t="s">
        <v>779</v>
      </c>
      <c r="H268" s="582" t="s">
        <v>780</v>
      </c>
    </row>
    <row r="269" spans="4:8">
      <c r="D269" s="16" t="str">
        <f t="shared" si="9"/>
        <v xml:space="preserve"> delete the nations you want to change and you can select them again.</v>
      </c>
      <c r="E269" s="16" t="s">
        <v>766</v>
      </c>
      <c r="G269" s="16" t="s">
        <v>781</v>
      </c>
      <c r="H269" s="582" t="s">
        <v>782</v>
      </c>
    </row>
    <row r="270" spans="4:8">
      <c r="D270" s="16" t="str">
        <f t="shared" si="9"/>
        <v>Complete before World Cup begins</v>
      </c>
      <c r="E270" s="16" t="s">
        <v>766</v>
      </c>
      <c r="G270" s="16" t="s">
        <v>783</v>
      </c>
      <c r="H270" s="582" t="s">
        <v>784</v>
      </c>
    </row>
    <row r="271" spans="4:8">
      <c r="D271" s="16" t="str">
        <f t="shared" ref="D271" si="10">IF($B$2,G271,H271)</f>
        <v>·If you are not going to use the predictor in your group, you can leave it unfilled</v>
      </c>
      <c r="E271" s="16" t="s">
        <v>766</v>
      </c>
      <c r="G271" s="16" t="s">
        <v>785</v>
      </c>
      <c r="H271" s="16" t="s">
        <v>786</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787</v>
      </c>
      <c r="H273" s="16" t="s">
        <v>788</v>
      </c>
    </row>
    <row r="922" spans="4:4">
      <c r="D922" s="16" t="s">
        <v>13</v>
      </c>
    </row>
    <row r="923" spans="4:4">
      <c r="D923" s="16" t="s">
        <v>789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11"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5546875" defaultRowHeight="15"/>
  <cols>
    <col min="1" max="1" width="9.42578125" style="16" bestFit="1" customWidth="1"/>
    <col min="2" max="2" width="6" style="16" bestFit="1" customWidth="1"/>
    <col min="3" max="13" width="10.85546875" style="16"/>
    <col min="14" max="14" width="9.42578125" style="16" bestFit="1" customWidth="1"/>
    <col min="15" max="15" width="6.42578125" style="16" bestFit="1" customWidth="1"/>
    <col min="16" max="16384" width="10.85546875" style="16"/>
  </cols>
  <sheetData>
    <row r="1" spans="1:23">
      <c r="A1" s="408" t="s">
        <v>790</v>
      </c>
      <c r="B1" s="408" t="s">
        <v>791</v>
      </c>
      <c r="C1" s="406" t="s">
        <v>30</v>
      </c>
      <c r="D1" s="406" t="s">
        <v>90</v>
      </c>
      <c r="E1" s="406" t="s">
        <v>108</v>
      </c>
      <c r="F1" s="406" t="s">
        <v>117</v>
      </c>
      <c r="G1" s="406" t="s">
        <v>135</v>
      </c>
      <c r="H1" s="406" t="s">
        <v>141</v>
      </c>
      <c r="I1" s="406" t="s">
        <v>143</v>
      </c>
      <c r="J1" s="406" t="s">
        <v>144</v>
      </c>
      <c r="N1" s="16" t="s">
        <v>159</v>
      </c>
      <c r="O1" s="410" t="s">
        <v>792</v>
      </c>
      <c r="P1" s="410" t="s">
        <v>84</v>
      </c>
      <c r="Q1" s="410" t="s">
        <v>88</v>
      </c>
      <c r="R1" s="410" t="s">
        <v>97</v>
      </c>
      <c r="S1" s="410" t="s">
        <v>102</v>
      </c>
      <c r="T1" s="410" t="s">
        <v>111</v>
      </c>
      <c r="U1" s="410" t="s">
        <v>120</v>
      </c>
      <c r="V1" s="410" t="s">
        <v>129</v>
      </c>
      <c r="W1" s="410" t="s">
        <v>133</v>
      </c>
    </row>
    <row r="2" spans="1:23">
      <c r="A2" s="9" t="s">
        <v>793</v>
      </c>
      <c r="B2" s="9">
        <f ca="1">+IF(A2=WORLDCUP!$BI$112,1,0)</f>
        <v>0</v>
      </c>
      <c r="C2" s="9" t="str">
        <f ca="1">+WORLDCUP!BD62</f>
        <v>Ivory Coast</v>
      </c>
      <c r="D2" s="9" t="str">
        <f ca="1">+WORLDCUP!BD67</f>
        <v>Algeria</v>
      </c>
      <c r="E2" s="9" t="str">
        <f ca="1">+WORLDCUP!BD66</f>
        <v>Norway</v>
      </c>
      <c r="F2" s="9" t="str">
        <f ca="1">+WORLDCUP!BD63</f>
        <v>Tunisia</v>
      </c>
      <c r="G2" s="9" t="str">
        <f ca="1">+WORLDCUP!BD65</f>
        <v>Saudi Arabia</v>
      </c>
      <c r="H2" s="9" t="str">
        <f ca="1">+WORLDCUP!BD64</f>
        <v>Egypt</v>
      </c>
      <c r="I2" s="9" t="str">
        <f ca="1">+WORLDCUP!BD69</f>
        <v>Croatia</v>
      </c>
      <c r="J2" s="9" t="str">
        <f ca="1">+WORLDCUP!BD68</f>
        <v>DR Congo</v>
      </c>
      <c r="L2" s="16" t="str">
        <f>+ROW()&amp;"."&amp;COLUMN()</f>
        <v>2.12</v>
      </c>
      <c r="N2" s="16" t="s">
        <v>793</v>
      </c>
      <c r="O2" s="16">
        <v>1</v>
      </c>
      <c r="P2" s="16" t="s">
        <v>104</v>
      </c>
      <c r="Q2" s="16" t="s">
        <v>127</v>
      </c>
      <c r="R2" s="16" t="s">
        <v>122</v>
      </c>
      <c r="S2" s="16" t="s">
        <v>109</v>
      </c>
      <c r="T2" s="16" t="s">
        <v>118</v>
      </c>
      <c r="U2" s="16" t="s">
        <v>113</v>
      </c>
      <c r="V2" s="16" t="s">
        <v>136</v>
      </c>
      <c r="W2" s="16" t="s">
        <v>131</v>
      </c>
    </row>
    <row r="3" spans="1:23">
      <c r="A3" s="9" t="s">
        <v>794</v>
      </c>
      <c r="B3" s="9">
        <f ca="1">+IF(A3=WORLDCUP!$BI$112,1,0)</f>
        <v>0</v>
      </c>
      <c r="C3" s="9" t="str">
        <f ca="1">+WORLDCUP!BD65</f>
        <v>Saudi Arabia</v>
      </c>
      <c r="D3" s="9" t="str">
        <f ca="1">+WORLDCUP!BD64</f>
        <v>Egypt</v>
      </c>
      <c r="E3" s="9" t="str">
        <f ca="1">+WORLDCUP!BD66</f>
        <v>Norway</v>
      </c>
      <c r="F3" s="9" t="str">
        <f ca="1">+WORLDCUP!BD61</f>
        <v>Australia</v>
      </c>
      <c r="G3" s="9" t="str">
        <f ca="1">+WORLDCUP!BD67</f>
        <v>Algeria</v>
      </c>
      <c r="H3" s="9" t="str">
        <f ca="1">+WORLDCUP!BD63</f>
        <v>Tunisia</v>
      </c>
      <c r="I3" s="9" t="str">
        <f ca="1">+WORLDCUP!BD69</f>
        <v>Croatia</v>
      </c>
      <c r="J3" s="9" t="str">
        <f ca="1">+WORLDCUP!BD68</f>
        <v>DR Congo</v>
      </c>
      <c r="N3" s="16" t="s">
        <v>794</v>
      </c>
      <c r="O3" s="16">
        <v>2</v>
      </c>
      <c r="P3" s="16" t="s">
        <v>118</v>
      </c>
      <c r="Q3" s="16" t="s">
        <v>113</v>
      </c>
      <c r="R3" s="16" t="s">
        <v>122</v>
      </c>
      <c r="S3" s="16" t="s">
        <v>100</v>
      </c>
      <c r="T3" s="16" t="s">
        <v>127</v>
      </c>
      <c r="U3" s="16" t="s">
        <v>109</v>
      </c>
      <c r="V3" s="16" t="s">
        <v>136</v>
      </c>
      <c r="W3" s="16" t="s">
        <v>131</v>
      </c>
    </row>
    <row r="4" spans="1:23">
      <c r="A4" s="9" t="s">
        <v>795</v>
      </c>
      <c r="B4" s="9">
        <f ca="1">+IF(A4=WORLDCUP!$BI$112,1,0)</f>
        <v>0</v>
      </c>
      <c r="C4" s="9" t="str">
        <f ca="1">+WORLDCUP!BD62</f>
        <v>Ivory Coast</v>
      </c>
      <c r="D4" s="9" t="str">
        <f ca="1">+WORLDCUP!BD67</f>
        <v>Algeria</v>
      </c>
      <c r="E4" s="9" t="str">
        <f ca="1">+WORLDCUP!BD66</f>
        <v>Norway</v>
      </c>
      <c r="F4" s="9" t="str">
        <f ca="1">+WORLDCUP!BD61</f>
        <v>Australia</v>
      </c>
      <c r="G4" s="9" t="str">
        <f ca="1">+WORLDCUP!BD65</f>
        <v>Saudi Arabia</v>
      </c>
      <c r="H4" s="9" t="str">
        <f ca="1">+WORLDCUP!BD64</f>
        <v>Egypt</v>
      </c>
      <c r="I4" s="9" t="str">
        <f ca="1">+WORLDCUP!BD69</f>
        <v>Croatia</v>
      </c>
      <c r="J4" s="9" t="str">
        <f ca="1">+WORLDCUP!BD68</f>
        <v>DR Congo</v>
      </c>
      <c r="N4" s="16" t="s">
        <v>795</v>
      </c>
      <c r="O4" s="16">
        <v>3</v>
      </c>
      <c r="P4" s="16" t="s">
        <v>104</v>
      </c>
      <c r="Q4" s="16" t="s">
        <v>127</v>
      </c>
      <c r="R4" s="16" t="s">
        <v>122</v>
      </c>
      <c r="S4" s="16" t="s">
        <v>100</v>
      </c>
      <c r="T4" s="16" t="s">
        <v>118</v>
      </c>
      <c r="U4" s="16" t="s">
        <v>113</v>
      </c>
      <c r="V4" s="16" t="s">
        <v>136</v>
      </c>
      <c r="W4" s="16" t="s">
        <v>131</v>
      </c>
    </row>
    <row r="5" spans="1:23">
      <c r="A5" s="9" t="s">
        <v>796</v>
      </c>
      <c r="B5" s="9">
        <f ca="1">+IF(A5=WORLDCUP!$BI$112,1,0)</f>
        <v>0</v>
      </c>
      <c r="C5" s="9" t="str">
        <f ca="1">+WORLDCUP!BD62</f>
        <v>Ivory Coast</v>
      </c>
      <c r="D5" s="9" t="str">
        <f ca="1">+WORLDCUP!BD67</f>
        <v>Algeria</v>
      </c>
      <c r="E5" s="9" t="str">
        <f ca="1">+WORLDCUP!BD66</f>
        <v>Norway</v>
      </c>
      <c r="F5" s="9" t="str">
        <f ca="1">+WORLDCUP!BD61</f>
        <v>Australia</v>
      </c>
      <c r="G5" s="9" t="str">
        <f ca="1">+WORLDCUP!BD65</f>
        <v>Saudi Arabia</v>
      </c>
      <c r="H5" s="9" t="str">
        <f ca="1">+WORLDCUP!BD63</f>
        <v>Tunisia</v>
      </c>
      <c r="I5" s="9" t="str">
        <f ca="1">+WORLDCUP!BD69</f>
        <v>Croatia</v>
      </c>
      <c r="J5" s="9" t="str">
        <f ca="1">+WORLDCUP!BD68</f>
        <v>DR Congo</v>
      </c>
      <c r="N5" s="16" t="s">
        <v>796</v>
      </c>
      <c r="O5" s="16">
        <v>4</v>
      </c>
      <c r="P5" s="16" t="s">
        <v>104</v>
      </c>
      <c r="Q5" s="16" t="s">
        <v>127</v>
      </c>
      <c r="R5" s="16" t="s">
        <v>122</v>
      </c>
      <c r="S5" s="16" t="s">
        <v>100</v>
      </c>
      <c r="T5" s="16" t="s">
        <v>118</v>
      </c>
      <c r="U5" s="16" t="s">
        <v>109</v>
      </c>
      <c r="V5" s="16" t="s">
        <v>136</v>
      </c>
      <c r="W5" s="16" t="s">
        <v>131</v>
      </c>
    </row>
    <row r="6" spans="1:23">
      <c r="A6" s="9" t="s">
        <v>797</v>
      </c>
      <c r="B6" s="9">
        <f ca="1">+IF(A6=WORLDCUP!$BI$112,1,0)</f>
        <v>0</v>
      </c>
      <c r="C6" s="9" t="str">
        <f ca="1">+WORLDCUP!BD62</f>
        <v>Ivory Coast</v>
      </c>
      <c r="D6" s="9" t="str">
        <f ca="1">+WORLDCUP!BD64</f>
        <v>Egypt</v>
      </c>
      <c r="E6" s="9" t="str">
        <f ca="1">+WORLDCUP!BD66</f>
        <v>Norway</v>
      </c>
      <c r="F6" s="9" t="str">
        <f ca="1">+WORLDCUP!BD61</f>
        <v>Australia</v>
      </c>
      <c r="G6" s="9" t="str">
        <f ca="1">+WORLDCUP!BD67</f>
        <v>Algeria</v>
      </c>
      <c r="H6" s="9" t="str">
        <f ca="1">+WORLDCUP!BD63</f>
        <v>Tunisia</v>
      </c>
      <c r="I6" s="9" t="str">
        <f ca="1">+WORLDCUP!BD69</f>
        <v>Croatia</v>
      </c>
      <c r="J6" s="9" t="str">
        <f ca="1">+WORLDCUP!BD68</f>
        <v>DR Congo</v>
      </c>
      <c r="N6" s="16" t="s">
        <v>797</v>
      </c>
      <c r="O6" s="16">
        <v>5</v>
      </c>
      <c r="P6" s="16" t="s">
        <v>104</v>
      </c>
      <c r="Q6" s="16" t="s">
        <v>113</v>
      </c>
      <c r="R6" s="16" t="s">
        <v>122</v>
      </c>
      <c r="S6" s="16" t="s">
        <v>100</v>
      </c>
      <c r="T6" s="16" t="s">
        <v>127</v>
      </c>
      <c r="U6" s="16" t="s">
        <v>109</v>
      </c>
      <c r="V6" s="16" t="s">
        <v>136</v>
      </c>
      <c r="W6" s="16" t="s">
        <v>131</v>
      </c>
    </row>
    <row r="7" spans="1:23">
      <c r="A7" s="9" t="s">
        <v>798</v>
      </c>
      <c r="B7" s="9">
        <f ca="1">+IF(A7=WORLDCUP!$BI$112,1,0)</f>
        <v>0</v>
      </c>
      <c r="C7" s="9" t="str">
        <f ca="1">+WORLDCUP!BD62</f>
        <v>Ivory Coast</v>
      </c>
      <c r="D7" s="9" t="str">
        <f ca="1">+WORLDCUP!BD64</f>
        <v>Egypt</v>
      </c>
      <c r="E7" s="9" t="str">
        <f ca="1">+WORLDCUP!BD67</f>
        <v>Algeria</v>
      </c>
      <c r="F7" s="9" t="str">
        <f ca="1">+WORLDCUP!BD61</f>
        <v>Australia</v>
      </c>
      <c r="G7" s="9" t="str">
        <f ca="1">+WORLDCUP!BD65</f>
        <v>Saudi Arabia</v>
      </c>
      <c r="H7" s="9" t="str">
        <f ca="1">+WORLDCUP!BD63</f>
        <v>Tunisia</v>
      </c>
      <c r="I7" s="9" t="str">
        <f ca="1">+WORLDCUP!BD69</f>
        <v>Croatia</v>
      </c>
      <c r="J7" s="9" t="str">
        <f ca="1">+WORLDCUP!BD68</f>
        <v>DR Congo</v>
      </c>
      <c r="N7" s="16" t="s">
        <v>798</v>
      </c>
      <c r="O7" s="16">
        <v>6</v>
      </c>
      <c r="P7" s="16" t="s">
        <v>104</v>
      </c>
      <c r="Q7" s="16" t="s">
        <v>113</v>
      </c>
      <c r="R7" s="16" t="s">
        <v>127</v>
      </c>
      <c r="S7" s="16" t="s">
        <v>100</v>
      </c>
      <c r="T7" s="16" t="s">
        <v>118</v>
      </c>
      <c r="U7" s="16" t="s">
        <v>109</v>
      </c>
      <c r="V7" s="16" t="s">
        <v>136</v>
      </c>
      <c r="W7" s="16" t="s">
        <v>131</v>
      </c>
    </row>
    <row r="8" spans="1:23">
      <c r="A8" s="9" t="s">
        <v>799</v>
      </c>
      <c r="B8" s="9">
        <f ca="1">+IF(A8=WORLDCUP!$BI$112,1,0)</f>
        <v>0</v>
      </c>
      <c r="C8" s="9" t="str">
        <f ca="1">+WORLDCUP!BD62</f>
        <v>Ivory Coast</v>
      </c>
      <c r="D8" s="9" t="str">
        <f ca="1">+WORLDCUP!BD64</f>
        <v>Egypt</v>
      </c>
      <c r="E8" s="9" t="str">
        <f ca="1">+WORLDCUP!BD66</f>
        <v>Norway</v>
      </c>
      <c r="F8" s="9" t="str">
        <f ca="1">+WORLDCUP!BD61</f>
        <v>Australia</v>
      </c>
      <c r="G8" s="9" t="str">
        <f ca="1">+WORLDCUP!BD65</f>
        <v>Saudi Arabia</v>
      </c>
      <c r="H8" s="9" t="str">
        <f ca="1">+WORLDCUP!BD63</f>
        <v>Tunisia</v>
      </c>
      <c r="I8" s="9" t="str">
        <f ca="1">+WORLDCUP!BD69</f>
        <v>Croatia</v>
      </c>
      <c r="J8" s="9" t="str">
        <f ca="1">+WORLDCUP!BD68</f>
        <v>DR Congo</v>
      </c>
      <c r="N8" s="16" t="s">
        <v>799</v>
      </c>
      <c r="O8" s="16">
        <v>7</v>
      </c>
      <c r="P8" s="16" t="s">
        <v>104</v>
      </c>
      <c r="Q8" s="16" t="s">
        <v>113</v>
      </c>
      <c r="R8" s="16" t="s">
        <v>122</v>
      </c>
      <c r="S8" s="16" t="s">
        <v>100</v>
      </c>
      <c r="T8" s="16" t="s">
        <v>118</v>
      </c>
      <c r="U8" s="16" t="s">
        <v>109</v>
      </c>
      <c r="V8" s="16" t="s">
        <v>136</v>
      </c>
      <c r="W8" s="16" t="s">
        <v>131</v>
      </c>
    </row>
    <row r="9" spans="1:23">
      <c r="A9" s="9" t="s">
        <v>800</v>
      </c>
      <c r="B9" s="9">
        <f ca="1">+IF(A9=WORLDCUP!$BI$112,1,0)</f>
        <v>0</v>
      </c>
      <c r="C9" s="9" t="str">
        <f ca="1">+WORLDCUP!BD62</f>
        <v>Ivory Coast</v>
      </c>
      <c r="D9" s="9" t="str">
        <f ca="1">+WORLDCUP!BD64</f>
        <v>Egypt</v>
      </c>
      <c r="E9" s="9" t="str">
        <f ca="1">+WORLDCUP!BD67</f>
        <v>Algeria</v>
      </c>
      <c r="F9" s="9" t="str">
        <f ca="1">+WORLDCUP!BD61</f>
        <v>Australia</v>
      </c>
      <c r="G9" s="9" t="str">
        <f ca="1">+WORLDCUP!BD65</f>
        <v>Saudi Arabia</v>
      </c>
      <c r="H9" s="9" t="str">
        <f ca="1">+WORLDCUP!BD63</f>
        <v>Tunisia</v>
      </c>
      <c r="I9" s="9" t="str">
        <f ca="1">+WORLDCUP!BD69</f>
        <v>Croatia</v>
      </c>
      <c r="J9" s="9" t="str">
        <f ca="1">+WORLDCUP!BD66</f>
        <v>Norway</v>
      </c>
      <c r="N9" s="16" t="s">
        <v>800</v>
      </c>
      <c r="O9" s="16">
        <v>8</v>
      </c>
      <c r="P9" s="16" t="s">
        <v>104</v>
      </c>
      <c r="Q9" s="16" t="s">
        <v>113</v>
      </c>
      <c r="R9" s="16" t="s">
        <v>127</v>
      </c>
      <c r="S9" s="16" t="s">
        <v>100</v>
      </c>
      <c r="T9" s="16" t="s">
        <v>118</v>
      </c>
      <c r="U9" s="16" t="s">
        <v>109</v>
      </c>
      <c r="V9" s="16" t="s">
        <v>136</v>
      </c>
      <c r="W9" s="16" t="s">
        <v>122</v>
      </c>
    </row>
    <row r="10" spans="1:23">
      <c r="A10" s="9" t="s">
        <v>801</v>
      </c>
      <c r="B10" s="9">
        <f ca="1">+IF(A10=WORLDCUP!$BI$112,1,0)</f>
        <v>0</v>
      </c>
      <c r="C10" s="9" t="str">
        <f ca="1">+WORLDCUP!BD62</f>
        <v>Ivory Coast</v>
      </c>
      <c r="D10" s="9" t="str">
        <f ca="1">+WORLDCUP!BD64</f>
        <v>Egypt</v>
      </c>
      <c r="E10" s="9" t="str">
        <f ca="1">+WORLDCUP!BD67</f>
        <v>Algeria</v>
      </c>
      <c r="F10" s="9" t="str">
        <f ca="1">+WORLDCUP!BD61</f>
        <v>Australia</v>
      </c>
      <c r="G10" s="9" t="str">
        <f ca="1">+WORLDCUP!BD65</f>
        <v>Saudi Arabia</v>
      </c>
      <c r="H10" s="9" t="str">
        <f ca="1">+WORLDCUP!BD63</f>
        <v>Tunisia</v>
      </c>
      <c r="I10" s="9" t="str">
        <f ca="1">+WORLDCUP!BD66</f>
        <v>Norway</v>
      </c>
      <c r="J10" s="9" t="str">
        <f ca="1">+WORLDCUP!BD68</f>
        <v>DR Congo</v>
      </c>
      <c r="N10" s="16" t="s">
        <v>801</v>
      </c>
      <c r="O10" s="16">
        <v>9</v>
      </c>
      <c r="P10" s="16" t="s">
        <v>104</v>
      </c>
      <c r="Q10" s="16" t="s">
        <v>113</v>
      </c>
      <c r="R10" s="16" t="s">
        <v>127</v>
      </c>
      <c r="S10" s="16" t="s">
        <v>100</v>
      </c>
      <c r="T10" s="16" t="s">
        <v>118</v>
      </c>
      <c r="U10" s="16" t="s">
        <v>109</v>
      </c>
      <c r="V10" s="16" t="s">
        <v>122</v>
      </c>
      <c r="W10" s="16" t="s">
        <v>131</v>
      </c>
    </row>
    <row r="11" spans="1:23">
      <c r="A11" s="9" t="s">
        <v>802</v>
      </c>
      <c r="B11" s="9">
        <f ca="1">+IF(A11=WORLDCUP!$BI$112,1,0)</f>
        <v>0</v>
      </c>
      <c r="C11" s="9" t="str">
        <f ca="1">+WORLDCUP!BD65</f>
        <v>Saudi Arabia</v>
      </c>
      <c r="D11" s="9" t="str">
        <f ca="1">+WORLDCUP!BD64</f>
        <v>Egypt</v>
      </c>
      <c r="E11" s="9" t="str">
        <f ca="1">+WORLDCUP!BD66</f>
        <v>Norway</v>
      </c>
      <c r="F11" s="9" t="str">
        <f ca="1">+WORLDCUP!BD60</f>
        <v>Scotland</v>
      </c>
      <c r="G11" s="9" t="str">
        <f ca="1">+WORLDCUP!BD67</f>
        <v>Algeria</v>
      </c>
      <c r="H11" s="9" t="str">
        <f ca="1">+WORLDCUP!BD63</f>
        <v>Tunisia</v>
      </c>
      <c r="I11" s="9" t="str">
        <f ca="1">+WORLDCUP!BD69</f>
        <v>Croatia</v>
      </c>
      <c r="J11" s="9" t="str">
        <f ca="1">+WORLDCUP!BD68</f>
        <v>DR Congo</v>
      </c>
      <c r="N11" s="16" t="s">
        <v>802</v>
      </c>
      <c r="O11" s="16">
        <v>10</v>
      </c>
      <c r="P11" s="16" t="s">
        <v>118</v>
      </c>
      <c r="Q11" s="16" t="s">
        <v>113</v>
      </c>
      <c r="R11" s="16" t="s">
        <v>122</v>
      </c>
      <c r="S11" s="16" t="s">
        <v>95</v>
      </c>
      <c r="T11" s="16" t="s">
        <v>127</v>
      </c>
      <c r="U11" s="16" t="s">
        <v>109</v>
      </c>
      <c r="V11" s="16" t="s">
        <v>136</v>
      </c>
      <c r="W11" s="16" t="s">
        <v>131</v>
      </c>
    </row>
    <row r="12" spans="1:23">
      <c r="A12" s="9" t="s">
        <v>803</v>
      </c>
      <c r="B12" s="9">
        <f ca="1">+IF(A12=WORLDCUP!$BI$112,1,0)</f>
        <v>0</v>
      </c>
      <c r="C12" s="9" t="str">
        <f ca="1">+WORLDCUP!BD62</f>
        <v>Ivory Coast</v>
      </c>
      <c r="D12" s="9" t="str">
        <f ca="1">+WORLDCUP!BD67</f>
        <v>Algeria</v>
      </c>
      <c r="E12" s="9" t="str">
        <f ca="1">+WORLDCUP!BD66</f>
        <v>Norway</v>
      </c>
      <c r="F12" s="9" t="str">
        <f ca="1">+WORLDCUP!BD60</f>
        <v>Scotland</v>
      </c>
      <c r="G12" s="9" t="str">
        <f ca="1">+WORLDCUP!BD65</f>
        <v>Saudi Arabia</v>
      </c>
      <c r="H12" s="9" t="str">
        <f ca="1">+WORLDCUP!BD64</f>
        <v>Egypt</v>
      </c>
      <c r="I12" s="9" t="str">
        <f ca="1">+WORLDCUP!BD69</f>
        <v>Croatia</v>
      </c>
      <c r="J12" s="9" t="str">
        <f ca="1">+WORLDCUP!BD68</f>
        <v>DR Congo</v>
      </c>
      <c r="N12" s="16" t="s">
        <v>803</v>
      </c>
      <c r="O12" s="16">
        <v>11</v>
      </c>
      <c r="P12" s="16" t="s">
        <v>104</v>
      </c>
      <c r="Q12" s="16" t="s">
        <v>127</v>
      </c>
      <c r="R12" s="16" t="s">
        <v>122</v>
      </c>
      <c r="S12" s="16" t="s">
        <v>95</v>
      </c>
      <c r="T12" s="16" t="s">
        <v>118</v>
      </c>
      <c r="U12" s="16" t="s">
        <v>113</v>
      </c>
      <c r="V12" s="16" t="s">
        <v>136</v>
      </c>
      <c r="W12" s="16" t="s">
        <v>131</v>
      </c>
    </row>
    <row r="13" spans="1:23">
      <c r="A13" s="9" t="s">
        <v>804</v>
      </c>
      <c r="B13" s="9">
        <f ca="1">+IF(A13=WORLDCUP!$BI$112,1,0)</f>
        <v>0</v>
      </c>
      <c r="C13" s="9" t="str">
        <f ca="1">+WORLDCUP!BD62</f>
        <v>Ivory Coast</v>
      </c>
      <c r="D13" s="9" t="str">
        <f ca="1">+WORLDCUP!BD67</f>
        <v>Algeria</v>
      </c>
      <c r="E13" s="9" t="str">
        <f ca="1">+WORLDCUP!BD66</f>
        <v>Norway</v>
      </c>
      <c r="F13" s="9" t="str">
        <f ca="1">+WORLDCUP!BD60</f>
        <v>Scotland</v>
      </c>
      <c r="G13" s="9" t="str">
        <f ca="1">+WORLDCUP!BD65</f>
        <v>Saudi Arabia</v>
      </c>
      <c r="H13" s="9" t="str">
        <f ca="1">+WORLDCUP!BD63</f>
        <v>Tunisia</v>
      </c>
      <c r="I13" s="9" t="str">
        <f ca="1">+WORLDCUP!BD69</f>
        <v>Croatia</v>
      </c>
      <c r="J13" s="9" t="str">
        <f ca="1">+WORLDCUP!BD68</f>
        <v>DR Congo</v>
      </c>
      <c r="N13" s="16" t="s">
        <v>804</v>
      </c>
      <c r="O13" s="16">
        <v>12</v>
      </c>
      <c r="P13" s="16" t="s">
        <v>104</v>
      </c>
      <c r="Q13" s="16" t="s">
        <v>127</v>
      </c>
      <c r="R13" s="16" t="s">
        <v>122</v>
      </c>
      <c r="S13" s="16" t="s">
        <v>95</v>
      </c>
      <c r="T13" s="16" t="s">
        <v>118</v>
      </c>
      <c r="U13" s="16" t="s">
        <v>109</v>
      </c>
      <c r="V13" s="16" t="s">
        <v>136</v>
      </c>
      <c r="W13" s="16" t="s">
        <v>131</v>
      </c>
    </row>
    <row r="14" spans="1:23">
      <c r="A14" s="9" t="s">
        <v>805</v>
      </c>
      <c r="B14" s="9">
        <f ca="1">+IF(A14=WORLDCUP!$BI$112,1,0)</f>
        <v>0</v>
      </c>
      <c r="C14" s="9" t="str">
        <f ca="1">+WORLDCUP!BD62</f>
        <v>Ivory Coast</v>
      </c>
      <c r="D14" s="9" t="str">
        <f ca="1">+WORLDCUP!BD64</f>
        <v>Egypt</v>
      </c>
      <c r="E14" s="9" t="str">
        <f ca="1">+WORLDCUP!BD66</f>
        <v>Norway</v>
      </c>
      <c r="F14" s="9" t="str">
        <f ca="1">+WORLDCUP!BD60</f>
        <v>Scotland</v>
      </c>
      <c r="G14" s="9" t="str">
        <f ca="1">+WORLDCUP!BD67</f>
        <v>Algeria</v>
      </c>
      <c r="H14" s="9" t="str">
        <f ca="1">+WORLDCUP!BD63</f>
        <v>Tunisia</v>
      </c>
      <c r="I14" s="9" t="str">
        <f ca="1">+WORLDCUP!BD69</f>
        <v>Croatia</v>
      </c>
      <c r="J14" s="9" t="str">
        <f ca="1">+WORLDCUP!BD68</f>
        <v>DR Congo</v>
      </c>
      <c r="N14" s="16" t="s">
        <v>805</v>
      </c>
      <c r="O14" s="16">
        <v>13</v>
      </c>
      <c r="P14" s="16" t="s">
        <v>104</v>
      </c>
      <c r="Q14" s="16" t="s">
        <v>113</v>
      </c>
      <c r="R14" s="16" t="s">
        <v>122</v>
      </c>
      <c r="S14" s="16" t="s">
        <v>95</v>
      </c>
      <c r="T14" s="16" t="s">
        <v>127</v>
      </c>
      <c r="U14" s="16" t="s">
        <v>109</v>
      </c>
      <c r="V14" s="16" t="s">
        <v>136</v>
      </c>
      <c r="W14" s="16" t="s">
        <v>131</v>
      </c>
    </row>
    <row r="15" spans="1:23">
      <c r="A15" s="9" t="s">
        <v>806</v>
      </c>
      <c r="B15" s="9">
        <f ca="1">+IF(A15=WORLDCUP!$BI$112,1,0)</f>
        <v>0</v>
      </c>
      <c r="C15" s="9" t="str">
        <f ca="1">+WORLDCUP!BD62</f>
        <v>Ivory Coast</v>
      </c>
      <c r="D15" s="9" t="str">
        <f ca="1">+WORLDCUP!BD64</f>
        <v>Egypt</v>
      </c>
      <c r="E15" s="9" t="str">
        <f ca="1">+WORLDCUP!BD67</f>
        <v>Algeria</v>
      </c>
      <c r="F15" s="9" t="str">
        <f ca="1">+WORLDCUP!BD60</f>
        <v>Scotland</v>
      </c>
      <c r="G15" s="9" t="str">
        <f ca="1">+WORLDCUP!BD65</f>
        <v>Saudi Arabia</v>
      </c>
      <c r="H15" s="9" t="str">
        <f ca="1">+WORLDCUP!BD63</f>
        <v>Tunisia</v>
      </c>
      <c r="I15" s="9" t="str">
        <f ca="1">+WORLDCUP!BD69</f>
        <v>Croatia</v>
      </c>
      <c r="J15" s="9" t="str">
        <f ca="1">+WORLDCUP!BD68</f>
        <v>DR Congo</v>
      </c>
      <c r="N15" s="16" t="s">
        <v>806</v>
      </c>
      <c r="O15" s="16">
        <v>14</v>
      </c>
      <c r="P15" s="16" t="s">
        <v>104</v>
      </c>
      <c r="Q15" s="16" t="s">
        <v>113</v>
      </c>
      <c r="R15" s="16" t="s">
        <v>127</v>
      </c>
      <c r="S15" s="16" t="s">
        <v>95</v>
      </c>
      <c r="T15" s="16" t="s">
        <v>118</v>
      </c>
      <c r="U15" s="16" t="s">
        <v>109</v>
      </c>
      <c r="V15" s="16" t="s">
        <v>136</v>
      </c>
      <c r="W15" s="16" t="s">
        <v>131</v>
      </c>
    </row>
    <row r="16" spans="1:23">
      <c r="A16" s="9" t="s">
        <v>807</v>
      </c>
      <c r="B16" s="9">
        <f ca="1">+IF(A16=WORLDCUP!$BI$112,1,0)</f>
        <v>0</v>
      </c>
      <c r="C16" s="9" t="str">
        <f ca="1">+WORLDCUP!BD62</f>
        <v>Ivory Coast</v>
      </c>
      <c r="D16" s="9" t="str">
        <f ca="1">+WORLDCUP!BD64</f>
        <v>Egypt</v>
      </c>
      <c r="E16" s="9" t="str">
        <f ca="1">+WORLDCUP!BD66</f>
        <v>Norway</v>
      </c>
      <c r="F16" s="9" t="str">
        <f ca="1">+WORLDCUP!BD60</f>
        <v>Scotland</v>
      </c>
      <c r="G16" s="9" t="str">
        <f ca="1">+WORLDCUP!BD65</f>
        <v>Saudi Arabia</v>
      </c>
      <c r="H16" s="9" t="str">
        <f ca="1">+WORLDCUP!BD63</f>
        <v>Tunisia</v>
      </c>
      <c r="I16" s="9" t="str">
        <f ca="1">+WORLDCUP!BD69</f>
        <v>Croatia</v>
      </c>
      <c r="J16" s="9" t="str">
        <f ca="1">+WORLDCUP!BD68</f>
        <v>DR Congo</v>
      </c>
      <c r="N16" s="16" t="s">
        <v>807</v>
      </c>
      <c r="O16" s="16">
        <v>15</v>
      </c>
      <c r="P16" s="16" t="s">
        <v>104</v>
      </c>
      <c r="Q16" s="16" t="s">
        <v>113</v>
      </c>
      <c r="R16" s="16" t="s">
        <v>122</v>
      </c>
      <c r="S16" s="16" t="s">
        <v>95</v>
      </c>
      <c r="T16" s="16" t="s">
        <v>118</v>
      </c>
      <c r="U16" s="16" t="s">
        <v>109</v>
      </c>
      <c r="V16" s="16" t="s">
        <v>136</v>
      </c>
      <c r="W16" s="16" t="s">
        <v>131</v>
      </c>
    </row>
    <row r="17" spans="1:23">
      <c r="A17" s="9" t="s">
        <v>808</v>
      </c>
      <c r="B17" s="9">
        <f ca="1">+IF(A17=WORLDCUP!$BI$112,1,0)</f>
        <v>0</v>
      </c>
      <c r="C17" s="9" t="str">
        <f ca="1">+WORLDCUP!BD62</f>
        <v>Ivory Coast</v>
      </c>
      <c r="D17" s="9" t="str">
        <f ca="1">+WORLDCUP!BD64</f>
        <v>Egypt</v>
      </c>
      <c r="E17" s="9" t="str">
        <f ca="1">+WORLDCUP!BD67</f>
        <v>Algeria</v>
      </c>
      <c r="F17" s="9" t="str">
        <f ca="1">+WORLDCUP!BD60</f>
        <v>Scotland</v>
      </c>
      <c r="G17" s="9" t="str">
        <f ca="1">+WORLDCUP!BD65</f>
        <v>Saudi Arabia</v>
      </c>
      <c r="H17" s="9" t="str">
        <f ca="1">+WORLDCUP!BD63</f>
        <v>Tunisia</v>
      </c>
      <c r="I17" s="9" t="str">
        <f ca="1">+WORLDCUP!BD69</f>
        <v>Croatia</v>
      </c>
      <c r="J17" s="9" t="str">
        <f ca="1">+WORLDCUP!BD66</f>
        <v>Norway</v>
      </c>
      <c r="N17" s="16" t="s">
        <v>808</v>
      </c>
      <c r="O17" s="16">
        <v>16</v>
      </c>
      <c r="P17" s="16" t="s">
        <v>104</v>
      </c>
      <c r="Q17" s="16" t="s">
        <v>113</v>
      </c>
      <c r="R17" s="16" t="s">
        <v>127</v>
      </c>
      <c r="S17" s="16" t="s">
        <v>95</v>
      </c>
      <c r="T17" s="16" t="s">
        <v>118</v>
      </c>
      <c r="U17" s="16" t="s">
        <v>109</v>
      </c>
      <c r="V17" s="16" t="s">
        <v>136</v>
      </c>
      <c r="W17" s="16" t="s">
        <v>122</v>
      </c>
    </row>
    <row r="18" spans="1:23">
      <c r="A18" s="9" t="s">
        <v>809</v>
      </c>
      <c r="B18" s="9">
        <f ca="1">+IF(A18=WORLDCUP!$BI$112,1,0)</f>
        <v>0</v>
      </c>
      <c r="C18" s="9" t="str">
        <f ca="1">+WORLDCUP!BD62</f>
        <v>Ivory Coast</v>
      </c>
      <c r="D18" s="9" t="str">
        <f ca="1">+WORLDCUP!BD64</f>
        <v>Egypt</v>
      </c>
      <c r="E18" s="9" t="str">
        <f ca="1">+WORLDCUP!BD67</f>
        <v>Algeria</v>
      </c>
      <c r="F18" s="9" t="str">
        <f ca="1">+WORLDCUP!BD60</f>
        <v>Scotland</v>
      </c>
      <c r="G18" s="9" t="str">
        <f ca="1">+WORLDCUP!BD65</f>
        <v>Saudi Arabia</v>
      </c>
      <c r="H18" s="9" t="str">
        <f ca="1">+WORLDCUP!BD63</f>
        <v>Tunisia</v>
      </c>
      <c r="I18" s="9" t="str">
        <f ca="1">+WORLDCUP!BD66</f>
        <v>Norway</v>
      </c>
      <c r="J18" s="9" t="str">
        <f ca="1">+WORLDCUP!BD68</f>
        <v>DR Congo</v>
      </c>
      <c r="N18" s="16" t="s">
        <v>809</v>
      </c>
      <c r="O18" s="16">
        <v>17</v>
      </c>
      <c r="P18" s="16" t="s">
        <v>104</v>
      </c>
      <c r="Q18" s="16" t="s">
        <v>113</v>
      </c>
      <c r="R18" s="16" t="s">
        <v>127</v>
      </c>
      <c r="S18" s="16" t="s">
        <v>95</v>
      </c>
      <c r="T18" s="16" t="s">
        <v>118</v>
      </c>
      <c r="U18" s="16" t="s">
        <v>109</v>
      </c>
      <c r="V18" s="16" t="s">
        <v>122</v>
      </c>
      <c r="W18" s="16" t="s">
        <v>131</v>
      </c>
    </row>
    <row r="19" spans="1:23">
      <c r="A19" s="9" t="s">
        <v>810</v>
      </c>
      <c r="B19" s="9">
        <f ca="1">+IF(A19=WORLDCUP!$BI$112,1,0)</f>
        <v>0</v>
      </c>
      <c r="C19" s="9" t="str">
        <f ca="1">+WORLDCUP!BD65</f>
        <v>Saudi Arabia</v>
      </c>
      <c r="D19" s="9" t="str">
        <f ca="1">+WORLDCUP!BD64</f>
        <v>Egypt</v>
      </c>
      <c r="E19" s="9" t="str">
        <f ca="1">+WORLDCUP!BD66</f>
        <v>Norway</v>
      </c>
      <c r="F19" s="9" t="str">
        <f ca="1">+WORLDCUP!BD60</f>
        <v>Scotland</v>
      </c>
      <c r="G19" s="9" t="str">
        <f ca="1">+WORLDCUP!BD67</f>
        <v>Algeria</v>
      </c>
      <c r="H19" s="9" t="str">
        <f ca="1">+WORLDCUP!BD61</f>
        <v>Australia</v>
      </c>
      <c r="I19" s="9" t="str">
        <f ca="1">+WORLDCUP!BD69</f>
        <v>Croatia</v>
      </c>
      <c r="J19" s="9" t="str">
        <f ca="1">+WORLDCUP!BD68</f>
        <v>DR Congo</v>
      </c>
      <c r="N19" s="16" t="s">
        <v>810</v>
      </c>
      <c r="O19" s="16">
        <v>18</v>
      </c>
      <c r="P19" s="16" t="s">
        <v>118</v>
      </c>
      <c r="Q19" s="16" t="s">
        <v>113</v>
      </c>
      <c r="R19" s="16" t="s">
        <v>122</v>
      </c>
      <c r="S19" s="16" t="s">
        <v>95</v>
      </c>
      <c r="T19" s="16" t="s">
        <v>127</v>
      </c>
      <c r="U19" s="16" t="s">
        <v>100</v>
      </c>
      <c r="V19" s="16" t="s">
        <v>136</v>
      </c>
      <c r="W19" s="16" t="s">
        <v>131</v>
      </c>
    </row>
    <row r="20" spans="1:23">
      <c r="A20" s="9" t="s">
        <v>811</v>
      </c>
      <c r="B20" s="9">
        <f ca="1">+IF(A20=WORLDCUP!$BI$112,1,0)</f>
        <v>0</v>
      </c>
      <c r="C20" s="9" t="str">
        <f ca="1">+WORLDCUP!BD60</f>
        <v>Scotland</v>
      </c>
      <c r="D20" s="9" t="str">
        <f ca="1">+WORLDCUP!BD67</f>
        <v>Algeria</v>
      </c>
      <c r="E20" s="9" t="str">
        <f ca="1">+WORLDCUP!BD66</f>
        <v>Norway</v>
      </c>
      <c r="F20" s="9" t="str">
        <f ca="1">+WORLDCUP!BD61</f>
        <v>Australia</v>
      </c>
      <c r="G20" s="9" t="str">
        <f ca="1">+WORLDCUP!BD65</f>
        <v>Saudi Arabia</v>
      </c>
      <c r="H20" s="9" t="str">
        <f ca="1">+WORLDCUP!BD63</f>
        <v>Tunisia</v>
      </c>
      <c r="I20" s="9" t="str">
        <f ca="1">+WORLDCUP!BD69</f>
        <v>Croatia</v>
      </c>
      <c r="J20" s="9" t="str">
        <f ca="1">+WORLDCUP!BD68</f>
        <v>DR Congo</v>
      </c>
      <c r="N20" s="16" t="s">
        <v>811</v>
      </c>
      <c r="O20" s="16">
        <v>19</v>
      </c>
      <c r="P20" s="16" t="s">
        <v>95</v>
      </c>
      <c r="Q20" s="16" t="s">
        <v>127</v>
      </c>
      <c r="R20" s="16" t="s">
        <v>122</v>
      </c>
      <c r="S20" s="16" t="s">
        <v>100</v>
      </c>
      <c r="T20" s="16" t="s">
        <v>118</v>
      </c>
      <c r="U20" s="16" t="s">
        <v>109</v>
      </c>
      <c r="V20" s="16" t="s">
        <v>136</v>
      </c>
      <c r="W20" s="16" t="s">
        <v>131</v>
      </c>
    </row>
    <row r="21" spans="1:23">
      <c r="A21" s="9" t="s">
        <v>812</v>
      </c>
      <c r="B21" s="9">
        <f ca="1">+IF(A21=WORLDCUP!$BI$112,1,0)</f>
        <v>0</v>
      </c>
      <c r="C21" s="9" t="str">
        <f ca="1">+WORLDCUP!BD60</f>
        <v>Scotland</v>
      </c>
      <c r="D21" s="9" t="str">
        <f ca="1">+WORLDCUP!BD64</f>
        <v>Egypt</v>
      </c>
      <c r="E21" s="9" t="str">
        <f ca="1">+WORLDCUP!BD66</f>
        <v>Norway</v>
      </c>
      <c r="F21" s="9" t="str">
        <f ca="1">+WORLDCUP!BD61</f>
        <v>Australia</v>
      </c>
      <c r="G21" s="9" t="str">
        <f ca="1">+WORLDCUP!BD67</f>
        <v>Algeria</v>
      </c>
      <c r="H21" s="9" t="str">
        <f ca="1">+WORLDCUP!BD63</f>
        <v>Tunisia</v>
      </c>
      <c r="I21" s="9" t="str">
        <f ca="1">+WORLDCUP!BD69</f>
        <v>Croatia</v>
      </c>
      <c r="J21" s="9" t="str">
        <f ca="1">+WORLDCUP!BD68</f>
        <v>DR Congo</v>
      </c>
      <c r="N21" s="16" t="s">
        <v>812</v>
      </c>
      <c r="O21" s="16">
        <v>20</v>
      </c>
      <c r="P21" s="16" t="s">
        <v>95</v>
      </c>
      <c r="Q21" s="16" t="s">
        <v>113</v>
      </c>
      <c r="R21" s="16" t="s">
        <v>122</v>
      </c>
      <c r="S21" s="16" t="s">
        <v>100</v>
      </c>
      <c r="T21" s="16" t="s">
        <v>127</v>
      </c>
      <c r="U21" s="16" t="s">
        <v>109</v>
      </c>
      <c r="V21" s="16" t="s">
        <v>136</v>
      </c>
      <c r="W21" s="16" t="s">
        <v>131</v>
      </c>
    </row>
    <row r="22" spans="1:23">
      <c r="A22" s="9" t="s">
        <v>813</v>
      </c>
      <c r="B22" s="9">
        <f ca="1">+IF(A22=WORLDCUP!$BI$112,1,0)</f>
        <v>0</v>
      </c>
      <c r="C22" s="9" t="str">
        <f ca="1">+WORLDCUP!BD60</f>
        <v>Scotland</v>
      </c>
      <c r="D22" s="9" t="str">
        <f ca="1">+WORLDCUP!BD64</f>
        <v>Egypt</v>
      </c>
      <c r="E22" s="9" t="str">
        <f ca="1">+WORLDCUP!BD67</f>
        <v>Algeria</v>
      </c>
      <c r="F22" s="9" t="str">
        <f ca="1">+WORLDCUP!BD61</f>
        <v>Australia</v>
      </c>
      <c r="G22" s="9" t="str">
        <f ca="1">+WORLDCUP!BD65</f>
        <v>Saudi Arabia</v>
      </c>
      <c r="H22" s="9" t="str">
        <f ca="1">+WORLDCUP!BD63</f>
        <v>Tunisia</v>
      </c>
      <c r="I22" s="9" t="str">
        <f ca="1">+WORLDCUP!BD69</f>
        <v>Croatia</v>
      </c>
      <c r="J22" s="9" t="str">
        <f ca="1">+WORLDCUP!BD68</f>
        <v>DR Congo</v>
      </c>
      <c r="N22" s="16" t="s">
        <v>813</v>
      </c>
      <c r="O22" s="16">
        <v>21</v>
      </c>
      <c r="P22" s="16" t="s">
        <v>95</v>
      </c>
      <c r="Q22" s="16" t="s">
        <v>113</v>
      </c>
      <c r="R22" s="16" t="s">
        <v>127</v>
      </c>
      <c r="S22" s="16" t="s">
        <v>100</v>
      </c>
      <c r="T22" s="16" t="s">
        <v>118</v>
      </c>
      <c r="U22" s="16" t="s">
        <v>109</v>
      </c>
      <c r="V22" s="16" t="s">
        <v>136</v>
      </c>
      <c r="W22" s="16" t="s">
        <v>131</v>
      </c>
    </row>
    <row r="23" spans="1:23">
      <c r="A23" s="9" t="s">
        <v>814</v>
      </c>
      <c r="B23" s="9">
        <f ca="1">+IF(A23=WORLDCUP!$BI$112,1,0)</f>
        <v>0</v>
      </c>
      <c r="C23" s="9" t="str">
        <f ca="1">+WORLDCUP!BD60</f>
        <v>Scotland</v>
      </c>
      <c r="D23" s="9" t="str">
        <f ca="1">+WORLDCUP!BD64</f>
        <v>Egypt</v>
      </c>
      <c r="E23" s="9" t="str">
        <f ca="1">+WORLDCUP!BD66</f>
        <v>Norway</v>
      </c>
      <c r="F23" s="9" t="str">
        <f ca="1">+WORLDCUP!BD61</f>
        <v>Australia</v>
      </c>
      <c r="G23" s="9" t="str">
        <f ca="1">+WORLDCUP!BD65</f>
        <v>Saudi Arabia</v>
      </c>
      <c r="H23" s="9" t="str">
        <f ca="1">+WORLDCUP!BD63</f>
        <v>Tunisia</v>
      </c>
      <c r="I23" s="9" t="str">
        <f ca="1">+WORLDCUP!BD69</f>
        <v>Croatia</v>
      </c>
      <c r="J23" s="9" t="str">
        <f ca="1">+WORLDCUP!BD68</f>
        <v>DR Congo</v>
      </c>
      <c r="N23" s="16" t="s">
        <v>814</v>
      </c>
      <c r="O23" s="16">
        <v>22</v>
      </c>
      <c r="P23" s="16" t="s">
        <v>95</v>
      </c>
      <c r="Q23" s="16" t="s">
        <v>113</v>
      </c>
      <c r="R23" s="16" t="s">
        <v>122</v>
      </c>
      <c r="S23" s="16" t="s">
        <v>100</v>
      </c>
      <c r="T23" s="16" t="s">
        <v>118</v>
      </c>
      <c r="U23" s="16" t="s">
        <v>109</v>
      </c>
      <c r="V23" s="16" t="s">
        <v>136</v>
      </c>
      <c r="W23" s="16" t="s">
        <v>131</v>
      </c>
    </row>
    <row r="24" spans="1:23">
      <c r="A24" s="9" t="s">
        <v>815</v>
      </c>
      <c r="B24" s="9">
        <f ca="1">+IF(A24=WORLDCUP!$BI$112,1,0)</f>
        <v>0</v>
      </c>
      <c r="C24" s="9" t="str">
        <f ca="1">+WORLDCUP!BD60</f>
        <v>Scotland</v>
      </c>
      <c r="D24" s="9" t="str">
        <f ca="1">+WORLDCUP!BD64</f>
        <v>Egypt</v>
      </c>
      <c r="E24" s="9" t="str">
        <f ca="1">+WORLDCUP!BD67</f>
        <v>Algeria</v>
      </c>
      <c r="F24" s="9" t="str">
        <f ca="1">+WORLDCUP!BD61</f>
        <v>Australia</v>
      </c>
      <c r="G24" s="9" t="str">
        <f ca="1">+WORLDCUP!BD65</f>
        <v>Saudi Arabia</v>
      </c>
      <c r="H24" s="9" t="str">
        <f ca="1">+WORLDCUP!BD63</f>
        <v>Tunisia</v>
      </c>
      <c r="I24" s="9" t="str">
        <f ca="1">+WORLDCUP!BD69</f>
        <v>Croatia</v>
      </c>
      <c r="J24" s="9" t="str">
        <f ca="1">+WORLDCUP!BD66</f>
        <v>Norway</v>
      </c>
      <c r="N24" s="16" t="s">
        <v>815</v>
      </c>
      <c r="O24" s="16">
        <v>23</v>
      </c>
      <c r="P24" s="16" t="s">
        <v>95</v>
      </c>
      <c r="Q24" s="16" t="s">
        <v>113</v>
      </c>
      <c r="R24" s="16" t="s">
        <v>127</v>
      </c>
      <c r="S24" s="16" t="s">
        <v>100</v>
      </c>
      <c r="T24" s="16" t="s">
        <v>118</v>
      </c>
      <c r="U24" s="16" t="s">
        <v>109</v>
      </c>
      <c r="V24" s="16" t="s">
        <v>136</v>
      </c>
      <c r="W24" s="16" t="s">
        <v>122</v>
      </c>
    </row>
    <row r="25" spans="1:23">
      <c r="A25" s="9" t="s">
        <v>816</v>
      </c>
      <c r="B25" s="9">
        <f ca="1">+IF(A25=WORLDCUP!$BI$112,1,0)</f>
        <v>0</v>
      </c>
      <c r="C25" s="9" t="str">
        <f ca="1">+WORLDCUP!BD60</f>
        <v>Scotland</v>
      </c>
      <c r="D25" s="9" t="str">
        <f ca="1">+WORLDCUP!BD64</f>
        <v>Egypt</v>
      </c>
      <c r="E25" s="9" t="str">
        <f ca="1">+WORLDCUP!BD67</f>
        <v>Algeria</v>
      </c>
      <c r="F25" s="9" t="str">
        <f ca="1">+WORLDCUP!BD61</f>
        <v>Australia</v>
      </c>
      <c r="G25" s="9" t="str">
        <f ca="1">+WORLDCUP!BD65</f>
        <v>Saudi Arabia</v>
      </c>
      <c r="H25" s="9" t="str">
        <f ca="1">+WORLDCUP!BD63</f>
        <v>Tunisia</v>
      </c>
      <c r="I25" s="9" t="str">
        <f ca="1">+WORLDCUP!BD66</f>
        <v>Norway</v>
      </c>
      <c r="J25" s="9" t="str">
        <f ca="1">+WORLDCUP!BD68</f>
        <v>DR Congo</v>
      </c>
      <c r="N25" s="16" t="s">
        <v>816</v>
      </c>
      <c r="O25" s="16">
        <v>24</v>
      </c>
      <c r="P25" s="16" t="s">
        <v>95</v>
      </c>
      <c r="Q25" s="16" t="s">
        <v>113</v>
      </c>
      <c r="R25" s="16" t="s">
        <v>127</v>
      </c>
      <c r="S25" s="16" t="s">
        <v>100</v>
      </c>
      <c r="T25" s="16" t="s">
        <v>118</v>
      </c>
      <c r="U25" s="16" t="s">
        <v>109</v>
      </c>
      <c r="V25" s="16" t="s">
        <v>122</v>
      </c>
      <c r="W25" s="16" t="s">
        <v>131</v>
      </c>
    </row>
    <row r="26" spans="1:23">
      <c r="A26" s="9" t="s">
        <v>817</v>
      </c>
      <c r="B26" s="9">
        <f ca="1">+IF(A26=WORLDCUP!$BI$112,1,0)</f>
        <v>0</v>
      </c>
      <c r="C26" s="9" t="str">
        <f ca="1">+WORLDCUP!BD62</f>
        <v>Ivory Coast</v>
      </c>
      <c r="D26" s="9" t="str">
        <f ca="1">+WORLDCUP!BD67</f>
        <v>Algeria</v>
      </c>
      <c r="E26" s="9" t="str">
        <f ca="1">+WORLDCUP!BD66</f>
        <v>Norway</v>
      </c>
      <c r="F26" s="9" t="str">
        <f ca="1">+WORLDCUP!BD60</f>
        <v>Scotland</v>
      </c>
      <c r="G26" s="9" t="str">
        <f ca="1">+WORLDCUP!BD65</f>
        <v>Saudi Arabia</v>
      </c>
      <c r="H26" s="9" t="str">
        <f ca="1">+WORLDCUP!BD61</f>
        <v>Australia</v>
      </c>
      <c r="I26" s="9" t="str">
        <f ca="1">+WORLDCUP!BD69</f>
        <v>Croatia</v>
      </c>
      <c r="J26" s="9" t="str">
        <f ca="1">+WORLDCUP!BD68</f>
        <v>DR Congo</v>
      </c>
      <c r="N26" s="16" t="s">
        <v>817</v>
      </c>
      <c r="O26" s="16">
        <v>25</v>
      </c>
      <c r="P26" s="16" t="s">
        <v>104</v>
      </c>
      <c r="Q26" s="16" t="s">
        <v>127</v>
      </c>
      <c r="R26" s="16" t="s">
        <v>122</v>
      </c>
      <c r="S26" s="16" t="s">
        <v>95</v>
      </c>
      <c r="T26" s="16" t="s">
        <v>118</v>
      </c>
      <c r="U26" s="16" t="s">
        <v>100</v>
      </c>
      <c r="V26" s="16" t="s">
        <v>136</v>
      </c>
      <c r="W26" s="16" t="s">
        <v>131</v>
      </c>
    </row>
    <row r="27" spans="1:23">
      <c r="A27" s="9" t="s">
        <v>818</v>
      </c>
      <c r="B27" s="9">
        <f ca="1">+IF(A27=WORLDCUP!$BI$112,1,0)</f>
        <v>0</v>
      </c>
      <c r="C27" s="9" t="str">
        <f ca="1">+WORLDCUP!BD62</f>
        <v>Ivory Coast</v>
      </c>
      <c r="D27" s="9" t="str">
        <f ca="1">+WORLDCUP!BD64</f>
        <v>Egypt</v>
      </c>
      <c r="E27" s="9" t="str">
        <f ca="1">+WORLDCUP!BD66</f>
        <v>Norway</v>
      </c>
      <c r="F27" s="9" t="str">
        <f ca="1">+WORLDCUP!BD60</f>
        <v>Scotland</v>
      </c>
      <c r="G27" s="9" t="str">
        <f ca="1">+WORLDCUP!BD67</f>
        <v>Algeria</v>
      </c>
      <c r="H27" s="9" t="str">
        <f ca="1">+WORLDCUP!BD61</f>
        <v>Australia</v>
      </c>
      <c r="I27" s="9" t="str">
        <f ca="1">+WORLDCUP!BD69</f>
        <v>Croatia</v>
      </c>
      <c r="J27" s="9" t="str">
        <f ca="1">+WORLDCUP!BD68</f>
        <v>DR Congo</v>
      </c>
      <c r="N27" s="16" t="s">
        <v>818</v>
      </c>
      <c r="O27" s="16">
        <v>26</v>
      </c>
      <c r="P27" s="16" t="s">
        <v>104</v>
      </c>
      <c r="Q27" s="16" t="s">
        <v>113</v>
      </c>
      <c r="R27" s="16" t="s">
        <v>122</v>
      </c>
      <c r="S27" s="16" t="s">
        <v>95</v>
      </c>
      <c r="T27" s="16" t="s">
        <v>127</v>
      </c>
      <c r="U27" s="16" t="s">
        <v>100</v>
      </c>
      <c r="V27" s="16" t="s">
        <v>136</v>
      </c>
      <c r="W27" s="16" t="s">
        <v>131</v>
      </c>
    </row>
    <row r="28" spans="1:23">
      <c r="A28" s="9" t="s">
        <v>819</v>
      </c>
      <c r="B28" s="9">
        <f ca="1">+IF(A28=WORLDCUP!$BI$112,1,0)</f>
        <v>0</v>
      </c>
      <c r="C28" s="9" t="str">
        <f ca="1">+WORLDCUP!BD62</f>
        <v>Ivory Coast</v>
      </c>
      <c r="D28" s="9" t="str">
        <f ca="1">+WORLDCUP!BD64</f>
        <v>Egypt</v>
      </c>
      <c r="E28" s="9" t="str">
        <f ca="1">+WORLDCUP!BD67</f>
        <v>Algeria</v>
      </c>
      <c r="F28" s="9" t="str">
        <f ca="1">+WORLDCUP!BD60</f>
        <v>Scotland</v>
      </c>
      <c r="G28" s="9" t="str">
        <f ca="1">+WORLDCUP!BD65</f>
        <v>Saudi Arabia</v>
      </c>
      <c r="H28" s="9" t="str">
        <f ca="1">+WORLDCUP!BD61</f>
        <v>Australia</v>
      </c>
      <c r="I28" s="9" t="str">
        <f ca="1">+WORLDCUP!BD69</f>
        <v>Croatia</v>
      </c>
      <c r="J28" s="9" t="str">
        <f ca="1">+WORLDCUP!BD68</f>
        <v>DR Congo</v>
      </c>
      <c r="N28" s="16" t="s">
        <v>819</v>
      </c>
      <c r="O28" s="16">
        <v>27</v>
      </c>
      <c r="P28" s="16" t="s">
        <v>104</v>
      </c>
      <c r="Q28" s="16" t="s">
        <v>113</v>
      </c>
      <c r="R28" s="16" t="s">
        <v>127</v>
      </c>
      <c r="S28" s="16" t="s">
        <v>95</v>
      </c>
      <c r="T28" s="16" t="s">
        <v>118</v>
      </c>
      <c r="U28" s="16" t="s">
        <v>100</v>
      </c>
      <c r="V28" s="16" t="s">
        <v>136</v>
      </c>
      <c r="W28" s="16" t="s">
        <v>131</v>
      </c>
    </row>
    <row r="29" spans="1:23">
      <c r="A29" s="9" t="s">
        <v>820</v>
      </c>
      <c r="B29" s="9">
        <f ca="1">+IF(A29=WORLDCUP!$BI$112,1,0)</f>
        <v>0</v>
      </c>
      <c r="C29" s="9" t="str">
        <f ca="1">+WORLDCUP!BD62</f>
        <v>Ivory Coast</v>
      </c>
      <c r="D29" s="9" t="str">
        <f ca="1">+WORLDCUP!BD64</f>
        <v>Egypt</v>
      </c>
      <c r="E29" s="9" t="str">
        <f ca="1">+WORLDCUP!BD66</f>
        <v>Norway</v>
      </c>
      <c r="F29" s="9" t="str">
        <f ca="1">+WORLDCUP!BD60</f>
        <v>Scotland</v>
      </c>
      <c r="G29" s="9" t="str">
        <f ca="1">+WORLDCUP!BD65</f>
        <v>Saudi Arabia</v>
      </c>
      <c r="H29" s="9" t="str">
        <f ca="1">+WORLDCUP!BD61</f>
        <v>Australia</v>
      </c>
      <c r="I29" s="9" t="str">
        <f ca="1">+WORLDCUP!BD69</f>
        <v>Croatia</v>
      </c>
      <c r="J29" s="9" t="str">
        <f ca="1">+WORLDCUP!BD68</f>
        <v>DR Congo</v>
      </c>
      <c r="N29" s="16" t="s">
        <v>820</v>
      </c>
      <c r="O29" s="16">
        <v>28</v>
      </c>
      <c r="P29" s="16" t="s">
        <v>104</v>
      </c>
      <c r="Q29" s="16" t="s">
        <v>113</v>
      </c>
      <c r="R29" s="16" t="s">
        <v>122</v>
      </c>
      <c r="S29" s="16" t="s">
        <v>95</v>
      </c>
      <c r="T29" s="16" t="s">
        <v>118</v>
      </c>
      <c r="U29" s="16" t="s">
        <v>100</v>
      </c>
      <c r="V29" s="16" t="s">
        <v>136</v>
      </c>
      <c r="W29" s="16" t="s">
        <v>131</v>
      </c>
    </row>
    <row r="30" spans="1:23">
      <c r="A30" s="9" t="s">
        <v>821</v>
      </c>
      <c r="B30" s="9">
        <f ca="1">+IF(A30=WORLDCUP!$BI$112,1,0)</f>
        <v>0</v>
      </c>
      <c r="C30" s="9" t="str">
        <f ca="1">+WORLDCUP!BD62</f>
        <v>Ivory Coast</v>
      </c>
      <c r="D30" s="9" t="str">
        <f ca="1">+WORLDCUP!BD64</f>
        <v>Egypt</v>
      </c>
      <c r="E30" s="9" t="str">
        <f ca="1">+WORLDCUP!BD67</f>
        <v>Algeria</v>
      </c>
      <c r="F30" s="9" t="str">
        <f ca="1">+WORLDCUP!BD60</f>
        <v>Scotland</v>
      </c>
      <c r="G30" s="9" t="str">
        <f ca="1">+WORLDCUP!BD65</f>
        <v>Saudi Arabia</v>
      </c>
      <c r="H30" s="9" t="str">
        <f ca="1">+WORLDCUP!BD61</f>
        <v>Australia</v>
      </c>
      <c r="I30" s="9" t="str">
        <f ca="1">+WORLDCUP!BD69</f>
        <v>Croatia</v>
      </c>
      <c r="J30" s="9" t="str">
        <f ca="1">+WORLDCUP!BD66</f>
        <v>Norway</v>
      </c>
      <c r="N30" s="16" t="s">
        <v>821</v>
      </c>
      <c r="O30" s="16">
        <v>29</v>
      </c>
      <c r="P30" s="16" t="s">
        <v>104</v>
      </c>
      <c r="Q30" s="16" t="s">
        <v>113</v>
      </c>
      <c r="R30" s="16" t="s">
        <v>127</v>
      </c>
      <c r="S30" s="16" t="s">
        <v>95</v>
      </c>
      <c r="T30" s="16" t="s">
        <v>118</v>
      </c>
      <c r="U30" s="16" t="s">
        <v>100</v>
      </c>
      <c r="V30" s="16" t="s">
        <v>136</v>
      </c>
      <c r="W30" s="16" t="s">
        <v>122</v>
      </c>
    </row>
    <row r="31" spans="1:23">
      <c r="A31" s="9" t="s">
        <v>822</v>
      </c>
      <c r="B31" s="9">
        <f ca="1">+IF(A31=WORLDCUP!$BI$112,1,0)</f>
        <v>0</v>
      </c>
      <c r="C31" s="9" t="str">
        <f ca="1">+WORLDCUP!BD62</f>
        <v>Ivory Coast</v>
      </c>
      <c r="D31" s="9" t="str">
        <f ca="1">+WORLDCUP!BD64</f>
        <v>Egypt</v>
      </c>
      <c r="E31" s="9" t="str">
        <f ca="1">+WORLDCUP!BD67</f>
        <v>Algeria</v>
      </c>
      <c r="F31" s="9" t="str">
        <f ca="1">+WORLDCUP!BD60</f>
        <v>Scotland</v>
      </c>
      <c r="G31" s="9" t="str">
        <f ca="1">+WORLDCUP!BD65</f>
        <v>Saudi Arabia</v>
      </c>
      <c r="H31" s="9" t="str">
        <f ca="1">+WORLDCUP!BD61</f>
        <v>Australia</v>
      </c>
      <c r="I31" s="9" t="str">
        <f ca="1">+WORLDCUP!BD66</f>
        <v>Norway</v>
      </c>
      <c r="J31" s="9" t="str">
        <f ca="1">+WORLDCUP!BD68</f>
        <v>DR Congo</v>
      </c>
      <c r="N31" s="16" t="s">
        <v>822</v>
      </c>
      <c r="O31" s="16">
        <v>30</v>
      </c>
      <c r="P31" s="16" t="s">
        <v>104</v>
      </c>
      <c r="Q31" s="16" t="s">
        <v>113</v>
      </c>
      <c r="R31" s="16" t="s">
        <v>127</v>
      </c>
      <c r="S31" s="16" t="s">
        <v>95</v>
      </c>
      <c r="T31" s="16" t="s">
        <v>118</v>
      </c>
      <c r="U31" s="16" t="s">
        <v>100</v>
      </c>
      <c r="V31" s="16" t="s">
        <v>122</v>
      </c>
      <c r="W31" s="16" t="s">
        <v>131</v>
      </c>
    </row>
    <row r="32" spans="1:23">
      <c r="A32" s="9" t="s">
        <v>823</v>
      </c>
      <c r="B32" s="9">
        <f ca="1">+IF(A32=WORLDCUP!$BI$112,1,0)</f>
        <v>0</v>
      </c>
      <c r="C32" s="9" t="str">
        <f ca="1">+WORLDCUP!BD60</f>
        <v>Scotland</v>
      </c>
      <c r="D32" s="9" t="str">
        <f ca="1">+WORLDCUP!BD67</f>
        <v>Algeria</v>
      </c>
      <c r="E32" s="9" t="str">
        <f ca="1">+WORLDCUP!BD62</f>
        <v>Ivory Coast</v>
      </c>
      <c r="F32" s="9" t="str">
        <f ca="1">+WORLDCUP!BD61</f>
        <v>Australia</v>
      </c>
      <c r="G32" s="9" t="str">
        <f ca="1">+WORLDCUP!BD66</f>
        <v>Norway</v>
      </c>
      <c r="H32" s="9" t="str">
        <f ca="1">+WORLDCUP!BD63</f>
        <v>Tunisia</v>
      </c>
      <c r="I32" s="9" t="str">
        <f ca="1">+WORLDCUP!BD69</f>
        <v>Croatia</v>
      </c>
      <c r="J32" s="9" t="str">
        <f ca="1">+WORLDCUP!BD68</f>
        <v>DR Congo</v>
      </c>
      <c r="N32" s="16" t="s">
        <v>823</v>
      </c>
      <c r="O32" s="16">
        <v>31</v>
      </c>
      <c r="P32" s="16" t="s">
        <v>95</v>
      </c>
      <c r="Q32" s="16" t="s">
        <v>127</v>
      </c>
      <c r="R32" s="16" t="s">
        <v>104</v>
      </c>
      <c r="S32" s="16" t="s">
        <v>100</v>
      </c>
      <c r="T32" s="16" t="s">
        <v>122</v>
      </c>
      <c r="U32" s="16" t="s">
        <v>109</v>
      </c>
      <c r="V32" s="16" t="s">
        <v>136</v>
      </c>
      <c r="W32" s="16" t="s">
        <v>131</v>
      </c>
    </row>
    <row r="33" spans="1:23">
      <c r="A33" s="9" t="s">
        <v>824</v>
      </c>
      <c r="B33" s="9">
        <f ca="1">+IF(A33=WORLDCUP!$BI$112,1,0)</f>
        <v>0</v>
      </c>
      <c r="C33" s="9" t="str">
        <f ca="1">+WORLDCUP!BD60</f>
        <v>Scotland</v>
      </c>
      <c r="D33" s="9" t="str">
        <f ca="1">+WORLDCUP!BD67</f>
        <v>Algeria</v>
      </c>
      <c r="E33" s="9" t="str">
        <f ca="1">+WORLDCUP!BD62</f>
        <v>Ivory Coast</v>
      </c>
      <c r="F33" s="9" t="str">
        <f ca="1">+WORLDCUP!BD61</f>
        <v>Australia</v>
      </c>
      <c r="G33" s="9" t="str">
        <f ca="1">+WORLDCUP!BD65</f>
        <v>Saudi Arabia</v>
      </c>
      <c r="H33" s="9" t="str">
        <f ca="1">+WORLDCUP!BD63</f>
        <v>Tunisia</v>
      </c>
      <c r="I33" s="9" t="str">
        <f ca="1">+WORLDCUP!BD69</f>
        <v>Croatia</v>
      </c>
      <c r="J33" s="9" t="str">
        <f ca="1">+WORLDCUP!BD68</f>
        <v>DR Congo</v>
      </c>
      <c r="N33" s="16" t="s">
        <v>824</v>
      </c>
      <c r="O33" s="16">
        <v>32</v>
      </c>
      <c r="P33" s="16" t="s">
        <v>95</v>
      </c>
      <c r="Q33" s="16" t="s">
        <v>127</v>
      </c>
      <c r="R33" s="16" t="s">
        <v>104</v>
      </c>
      <c r="S33" s="16" t="s">
        <v>100</v>
      </c>
      <c r="T33" s="16" t="s">
        <v>118</v>
      </c>
      <c r="U33" s="16" t="s">
        <v>109</v>
      </c>
      <c r="V33" s="16" t="s">
        <v>136</v>
      </c>
      <c r="W33" s="16" t="s">
        <v>131</v>
      </c>
    </row>
    <row r="34" spans="1:23">
      <c r="A34" s="9" t="s">
        <v>825</v>
      </c>
      <c r="B34" s="9">
        <f ca="1">+IF(A34=WORLDCUP!$BI$112,1,0)</f>
        <v>0</v>
      </c>
      <c r="C34" s="9" t="str">
        <f ca="1">+WORLDCUP!BD60</f>
        <v>Scotland</v>
      </c>
      <c r="D34" s="9" t="str">
        <f ca="1">+WORLDCUP!BD62</f>
        <v>Ivory Coast</v>
      </c>
      <c r="E34" s="9" t="str">
        <f ca="1">+WORLDCUP!BD66</f>
        <v>Norway</v>
      </c>
      <c r="F34" s="9" t="str">
        <f ca="1">+WORLDCUP!BD61</f>
        <v>Australia</v>
      </c>
      <c r="G34" s="9" t="str">
        <f ca="1">+WORLDCUP!BD65</f>
        <v>Saudi Arabia</v>
      </c>
      <c r="H34" s="9" t="str">
        <f ca="1">+WORLDCUP!BD63</f>
        <v>Tunisia</v>
      </c>
      <c r="I34" s="9" t="str">
        <f ca="1">+WORLDCUP!BD69</f>
        <v>Croatia</v>
      </c>
      <c r="J34" s="9" t="str">
        <f ca="1">+WORLDCUP!BD68</f>
        <v>DR Congo</v>
      </c>
      <c r="N34" s="16" t="s">
        <v>825</v>
      </c>
      <c r="O34" s="16">
        <v>33</v>
      </c>
      <c r="P34" s="16" t="s">
        <v>95</v>
      </c>
      <c r="Q34" s="16" t="s">
        <v>104</v>
      </c>
      <c r="R34" s="16" t="s">
        <v>122</v>
      </c>
      <c r="S34" s="16" t="s">
        <v>100</v>
      </c>
      <c r="T34" s="16" t="s">
        <v>118</v>
      </c>
      <c r="U34" s="16" t="s">
        <v>109</v>
      </c>
      <c r="V34" s="16" t="s">
        <v>136</v>
      </c>
      <c r="W34" s="16" t="s">
        <v>131</v>
      </c>
    </row>
    <row r="35" spans="1:23">
      <c r="A35" s="9" t="s">
        <v>826</v>
      </c>
      <c r="B35" s="9">
        <f ca="1">+IF(A35=WORLDCUP!$BI$112,1,0)</f>
        <v>0</v>
      </c>
      <c r="C35" s="9" t="str">
        <f ca="1">+WORLDCUP!BD60</f>
        <v>Scotland</v>
      </c>
      <c r="D35" s="9" t="str">
        <f ca="1">+WORLDCUP!BD67</f>
        <v>Algeria</v>
      </c>
      <c r="E35" s="9" t="str">
        <f ca="1">+WORLDCUP!BD62</f>
        <v>Ivory Coast</v>
      </c>
      <c r="F35" s="9" t="str">
        <f ca="1">+WORLDCUP!BD61</f>
        <v>Australia</v>
      </c>
      <c r="G35" s="9" t="str">
        <f ca="1">+WORLDCUP!BD65</f>
        <v>Saudi Arabia</v>
      </c>
      <c r="H35" s="9" t="str">
        <f ca="1">+WORLDCUP!BD63</f>
        <v>Tunisia</v>
      </c>
      <c r="I35" s="9" t="str">
        <f ca="1">+WORLDCUP!BD69</f>
        <v>Croatia</v>
      </c>
      <c r="J35" s="9" t="str">
        <f ca="1">+WORLDCUP!BD66</f>
        <v>Norway</v>
      </c>
      <c r="N35" s="16" t="s">
        <v>826</v>
      </c>
      <c r="O35" s="16">
        <v>34</v>
      </c>
      <c r="P35" s="16" t="s">
        <v>95</v>
      </c>
      <c r="Q35" s="16" t="s">
        <v>127</v>
      </c>
      <c r="R35" s="16" t="s">
        <v>104</v>
      </c>
      <c r="S35" s="16" t="s">
        <v>100</v>
      </c>
      <c r="T35" s="16" t="s">
        <v>118</v>
      </c>
      <c r="U35" s="16" t="s">
        <v>109</v>
      </c>
      <c r="V35" s="16" t="s">
        <v>136</v>
      </c>
      <c r="W35" s="16" t="s">
        <v>122</v>
      </c>
    </row>
    <row r="36" spans="1:23">
      <c r="A36" s="9" t="s">
        <v>827</v>
      </c>
      <c r="B36" s="9">
        <f ca="1">+IF(A36=WORLDCUP!$BI$112,1,0)</f>
        <v>0</v>
      </c>
      <c r="C36" s="9" t="str">
        <f ca="1">+WORLDCUP!BD60</f>
        <v>Scotland</v>
      </c>
      <c r="D36" s="9" t="str">
        <f ca="1">+WORLDCUP!BD67</f>
        <v>Algeria</v>
      </c>
      <c r="E36" s="9" t="str">
        <f ca="1">+WORLDCUP!BD62</f>
        <v>Ivory Coast</v>
      </c>
      <c r="F36" s="9" t="str">
        <f ca="1">+WORLDCUP!BD61</f>
        <v>Australia</v>
      </c>
      <c r="G36" s="9" t="str">
        <f ca="1">+WORLDCUP!BD65</f>
        <v>Saudi Arabia</v>
      </c>
      <c r="H36" s="9" t="str">
        <f ca="1">+WORLDCUP!BD63</f>
        <v>Tunisia</v>
      </c>
      <c r="I36" s="9" t="str">
        <f ca="1">+WORLDCUP!BD66</f>
        <v>Norway</v>
      </c>
      <c r="J36" s="9" t="str">
        <f ca="1">+WORLDCUP!BD68</f>
        <v>DR Congo</v>
      </c>
      <c r="N36" s="16" t="s">
        <v>827</v>
      </c>
      <c r="O36" s="16">
        <v>35</v>
      </c>
      <c r="P36" s="16" t="s">
        <v>95</v>
      </c>
      <c r="Q36" s="16" t="s">
        <v>127</v>
      </c>
      <c r="R36" s="16" t="s">
        <v>104</v>
      </c>
      <c r="S36" s="16" t="s">
        <v>100</v>
      </c>
      <c r="T36" s="16" t="s">
        <v>118</v>
      </c>
      <c r="U36" s="16" t="s">
        <v>109</v>
      </c>
      <c r="V36" s="16" t="s">
        <v>122</v>
      </c>
      <c r="W36" s="16" t="s">
        <v>131</v>
      </c>
    </row>
    <row r="37" spans="1:23">
      <c r="A37" s="9" t="s">
        <v>828</v>
      </c>
      <c r="B37" s="9">
        <f ca="1">+IF(A37=WORLDCUP!$BI$112,1,0)</f>
        <v>0</v>
      </c>
      <c r="C37" s="9" t="str">
        <f ca="1">+WORLDCUP!BD60</f>
        <v>Scotland</v>
      </c>
      <c r="D37" s="9" t="str">
        <f ca="1">+WORLDCUP!BD64</f>
        <v>Egypt</v>
      </c>
      <c r="E37" s="9" t="str">
        <f ca="1">+WORLDCUP!BD62</f>
        <v>Ivory Coast</v>
      </c>
      <c r="F37" s="9" t="str">
        <f ca="1">+WORLDCUP!BD61</f>
        <v>Australia</v>
      </c>
      <c r="G37" s="9" t="str">
        <f ca="1">+WORLDCUP!BD67</f>
        <v>Algeria</v>
      </c>
      <c r="H37" s="9" t="str">
        <f ca="1">+WORLDCUP!BD63</f>
        <v>Tunisia</v>
      </c>
      <c r="I37" s="9" t="str">
        <f ca="1">+WORLDCUP!BD69</f>
        <v>Croatia</v>
      </c>
      <c r="J37" s="9" t="str">
        <f ca="1">+WORLDCUP!BD68</f>
        <v>DR Congo</v>
      </c>
      <c r="N37" s="16" t="s">
        <v>828</v>
      </c>
      <c r="O37" s="16">
        <v>36</v>
      </c>
      <c r="P37" s="16" t="s">
        <v>95</v>
      </c>
      <c r="Q37" s="16" t="s">
        <v>113</v>
      </c>
      <c r="R37" s="16" t="s">
        <v>104</v>
      </c>
      <c r="S37" s="16" t="s">
        <v>100</v>
      </c>
      <c r="T37" s="16" t="s">
        <v>127</v>
      </c>
      <c r="U37" s="16" t="s">
        <v>109</v>
      </c>
      <c r="V37" s="16" t="s">
        <v>136</v>
      </c>
      <c r="W37" s="16" t="s">
        <v>131</v>
      </c>
    </row>
    <row r="38" spans="1:23">
      <c r="A38" s="9" t="s">
        <v>829</v>
      </c>
      <c r="B38" s="9">
        <f ca="1">+IF(A38=WORLDCUP!$BI$112,1,0)</f>
        <v>0</v>
      </c>
      <c r="C38" s="9" t="str">
        <f ca="1">+WORLDCUP!BD60</f>
        <v>Scotland</v>
      </c>
      <c r="D38" s="9" t="str">
        <f ca="1">+WORLDCUP!BD64</f>
        <v>Egypt</v>
      </c>
      <c r="E38" s="9" t="str">
        <f ca="1">+WORLDCUP!BD62</f>
        <v>Ivory Coast</v>
      </c>
      <c r="F38" s="9" t="str">
        <f ca="1">+WORLDCUP!BD61</f>
        <v>Australia</v>
      </c>
      <c r="G38" s="9" t="str">
        <f ca="1">+WORLDCUP!BD66</f>
        <v>Norway</v>
      </c>
      <c r="H38" s="9" t="str">
        <f ca="1">+WORLDCUP!BD63</f>
        <v>Tunisia</v>
      </c>
      <c r="I38" s="9" t="str">
        <f ca="1">+WORLDCUP!BD69</f>
        <v>Croatia</v>
      </c>
      <c r="J38" s="9" t="str">
        <f ca="1">+WORLDCUP!BD68</f>
        <v>DR Congo</v>
      </c>
      <c r="N38" s="16" t="s">
        <v>829</v>
      </c>
      <c r="O38" s="16">
        <v>37</v>
      </c>
      <c r="P38" s="16" t="s">
        <v>95</v>
      </c>
      <c r="Q38" s="16" t="s">
        <v>113</v>
      </c>
      <c r="R38" s="16" t="s">
        <v>104</v>
      </c>
      <c r="S38" s="16" t="s">
        <v>100</v>
      </c>
      <c r="T38" s="16" t="s">
        <v>122</v>
      </c>
      <c r="U38" s="16" t="s">
        <v>109</v>
      </c>
      <c r="V38" s="16" t="s">
        <v>136</v>
      </c>
      <c r="W38" s="16" t="s">
        <v>131</v>
      </c>
    </row>
    <row r="39" spans="1:23">
      <c r="A39" s="9" t="s">
        <v>830</v>
      </c>
      <c r="B39" s="9">
        <f ca="1">+IF(A39=WORLDCUP!$BI$112,1,0)</f>
        <v>0</v>
      </c>
      <c r="C39" s="9" t="str">
        <f ca="1">+WORLDCUP!BD60</f>
        <v>Scotland</v>
      </c>
      <c r="D39" s="9" t="str">
        <f ca="1">+WORLDCUP!BD64</f>
        <v>Egypt</v>
      </c>
      <c r="E39" s="9" t="str">
        <f ca="1">+WORLDCUP!BD62</f>
        <v>Ivory Coast</v>
      </c>
      <c r="F39" s="9" t="str">
        <f ca="1">+WORLDCUP!BD61</f>
        <v>Australia</v>
      </c>
      <c r="G39" s="9" t="str">
        <f ca="1">+WORLDCUP!BD67</f>
        <v>Algeria</v>
      </c>
      <c r="H39" s="9" t="str">
        <f ca="1">+WORLDCUP!BD63</f>
        <v>Tunisia</v>
      </c>
      <c r="I39" s="9" t="str">
        <f ca="1">+WORLDCUP!BD69</f>
        <v>Croatia</v>
      </c>
      <c r="J39" s="9" t="str">
        <f ca="1">+WORLDCUP!BD66</f>
        <v>Norway</v>
      </c>
      <c r="N39" s="16" t="s">
        <v>830</v>
      </c>
      <c r="O39" s="16">
        <v>38</v>
      </c>
      <c r="P39" s="16" t="s">
        <v>95</v>
      </c>
      <c r="Q39" s="16" t="s">
        <v>113</v>
      </c>
      <c r="R39" s="16" t="s">
        <v>104</v>
      </c>
      <c r="S39" s="16" t="s">
        <v>100</v>
      </c>
      <c r="T39" s="16" t="s">
        <v>127</v>
      </c>
      <c r="U39" s="16" t="s">
        <v>109</v>
      </c>
      <c r="V39" s="16" t="s">
        <v>136</v>
      </c>
      <c r="W39" s="16" t="s">
        <v>122</v>
      </c>
    </row>
    <row r="40" spans="1:23">
      <c r="A40" s="9" t="s">
        <v>831</v>
      </c>
      <c r="B40" s="9">
        <f ca="1">+IF(A40=WORLDCUP!$BI$112,1,0)</f>
        <v>0</v>
      </c>
      <c r="C40" s="9" t="str">
        <f ca="1">+WORLDCUP!BD60</f>
        <v>Scotland</v>
      </c>
      <c r="D40" s="9" t="str">
        <f ca="1">+WORLDCUP!BD64</f>
        <v>Egypt</v>
      </c>
      <c r="E40" s="9" t="str">
        <f ca="1">+WORLDCUP!BD62</f>
        <v>Ivory Coast</v>
      </c>
      <c r="F40" s="9" t="str">
        <f ca="1">+WORLDCUP!BD61</f>
        <v>Australia</v>
      </c>
      <c r="G40" s="9" t="str">
        <f ca="1">+WORLDCUP!BD67</f>
        <v>Algeria</v>
      </c>
      <c r="H40" s="9" t="str">
        <f ca="1">+WORLDCUP!BD63</f>
        <v>Tunisia</v>
      </c>
      <c r="I40" s="9" t="str">
        <f ca="1">+WORLDCUP!BD66</f>
        <v>Norway</v>
      </c>
      <c r="J40" s="9" t="str">
        <f ca="1">+WORLDCUP!BD68</f>
        <v>DR Congo</v>
      </c>
      <c r="N40" s="16" t="s">
        <v>831</v>
      </c>
      <c r="O40" s="16">
        <v>39</v>
      </c>
      <c r="P40" s="16" t="s">
        <v>95</v>
      </c>
      <c r="Q40" s="16" t="s">
        <v>113</v>
      </c>
      <c r="R40" s="16" t="s">
        <v>104</v>
      </c>
      <c r="S40" s="16" t="s">
        <v>100</v>
      </c>
      <c r="T40" s="16" t="s">
        <v>127</v>
      </c>
      <c r="U40" s="16" t="s">
        <v>109</v>
      </c>
      <c r="V40" s="16" t="s">
        <v>122</v>
      </c>
      <c r="W40" s="16" t="s">
        <v>131</v>
      </c>
    </row>
    <row r="41" spans="1:23">
      <c r="A41" s="9" t="s">
        <v>832</v>
      </c>
      <c r="B41" s="9">
        <f ca="1">+IF(A41=WORLDCUP!$BI$112,1,0)</f>
        <v>0</v>
      </c>
      <c r="C41" s="9" t="str">
        <f ca="1">+WORLDCUP!BD60</f>
        <v>Scotland</v>
      </c>
      <c r="D41" s="9" t="str">
        <f ca="1">+WORLDCUP!BD64</f>
        <v>Egypt</v>
      </c>
      <c r="E41" s="9" t="str">
        <f ca="1">+WORLDCUP!BD62</f>
        <v>Ivory Coast</v>
      </c>
      <c r="F41" s="9" t="str">
        <f ca="1">+WORLDCUP!BD61</f>
        <v>Australia</v>
      </c>
      <c r="G41" s="9" t="str">
        <f ca="1">+WORLDCUP!BD65</f>
        <v>Saudi Arabia</v>
      </c>
      <c r="H41" s="9" t="str">
        <f ca="1">+WORLDCUP!BD63</f>
        <v>Tunisia</v>
      </c>
      <c r="I41" s="9" t="str">
        <f ca="1">+WORLDCUP!BD69</f>
        <v>Croatia</v>
      </c>
      <c r="J41" s="9" t="str">
        <f ca="1">+WORLDCUP!BD68</f>
        <v>DR Congo</v>
      </c>
      <c r="N41" s="16" t="s">
        <v>832</v>
      </c>
      <c r="O41" s="16">
        <v>40</v>
      </c>
      <c r="P41" s="16" t="s">
        <v>95</v>
      </c>
      <c r="Q41" s="16" t="s">
        <v>113</v>
      </c>
      <c r="R41" s="16" t="s">
        <v>104</v>
      </c>
      <c r="S41" s="16" t="s">
        <v>100</v>
      </c>
      <c r="T41" s="16" t="s">
        <v>118</v>
      </c>
      <c r="U41" s="16" t="s">
        <v>109</v>
      </c>
      <c r="V41" s="16" t="s">
        <v>136</v>
      </c>
      <c r="W41" s="16" t="s">
        <v>131</v>
      </c>
    </row>
    <row r="42" spans="1:23">
      <c r="A42" s="9" t="s">
        <v>833</v>
      </c>
      <c r="B42" s="9">
        <f ca="1">+IF(A42=WORLDCUP!$BI$112,1,0)</f>
        <v>0</v>
      </c>
      <c r="C42" s="9" t="str">
        <f ca="1">+WORLDCUP!BD60</f>
        <v>Scotland</v>
      </c>
      <c r="D42" s="9" t="str">
        <f ca="1">+WORLDCUP!BD64</f>
        <v>Egypt</v>
      </c>
      <c r="E42" s="9" t="str">
        <f ca="1">+WORLDCUP!BD67</f>
        <v>Algeria</v>
      </c>
      <c r="F42" s="9" t="str">
        <f ca="1">+WORLDCUP!BD61</f>
        <v>Australia</v>
      </c>
      <c r="G42" s="9" t="str">
        <f ca="1">+WORLDCUP!BD65</f>
        <v>Saudi Arabia</v>
      </c>
      <c r="H42" s="9" t="str">
        <f ca="1">+WORLDCUP!BD63</f>
        <v>Tunisia</v>
      </c>
      <c r="I42" s="9" t="str">
        <f ca="1">+WORLDCUP!BD69</f>
        <v>Croatia</v>
      </c>
      <c r="J42" s="9" t="str">
        <f ca="1">+WORLDCUP!BD62</f>
        <v>Ivory Coast</v>
      </c>
      <c r="N42" s="16" t="s">
        <v>833</v>
      </c>
      <c r="O42" s="16">
        <v>41</v>
      </c>
      <c r="P42" s="16" t="s">
        <v>95</v>
      </c>
      <c r="Q42" s="16" t="s">
        <v>113</v>
      </c>
      <c r="R42" s="16" t="s">
        <v>127</v>
      </c>
      <c r="S42" s="16" t="s">
        <v>100</v>
      </c>
      <c r="T42" s="16" t="s">
        <v>118</v>
      </c>
      <c r="U42" s="16" t="s">
        <v>109</v>
      </c>
      <c r="V42" s="16" t="s">
        <v>136</v>
      </c>
      <c r="W42" s="16" t="s">
        <v>104</v>
      </c>
    </row>
    <row r="43" spans="1:23">
      <c r="A43" s="9" t="s">
        <v>834</v>
      </c>
      <c r="B43" s="9">
        <f ca="1">+IF(A43=WORLDCUP!$BI$112,1,0)</f>
        <v>0</v>
      </c>
      <c r="C43" s="9" t="str">
        <f ca="1">+WORLDCUP!BD60</f>
        <v>Scotland</v>
      </c>
      <c r="D43" s="9" t="str">
        <f ca="1">+WORLDCUP!BD64</f>
        <v>Egypt</v>
      </c>
      <c r="E43" s="9" t="str">
        <f ca="1">+WORLDCUP!BD67</f>
        <v>Algeria</v>
      </c>
      <c r="F43" s="9" t="str">
        <f ca="1">+WORLDCUP!BD61</f>
        <v>Australia</v>
      </c>
      <c r="G43" s="9" t="str">
        <f ca="1">+WORLDCUP!BD65</f>
        <v>Saudi Arabia</v>
      </c>
      <c r="H43" s="9" t="str">
        <f ca="1">+WORLDCUP!BD63</f>
        <v>Tunisia</v>
      </c>
      <c r="I43" s="9" t="str">
        <f ca="1">+WORLDCUP!BD62</f>
        <v>Ivory Coast</v>
      </c>
      <c r="J43" s="9" t="str">
        <f ca="1">+WORLDCUP!BD68</f>
        <v>DR Congo</v>
      </c>
      <c r="N43" s="16" t="s">
        <v>834</v>
      </c>
      <c r="O43" s="16">
        <v>42</v>
      </c>
      <c r="P43" s="16" t="s">
        <v>95</v>
      </c>
      <c r="Q43" s="16" t="s">
        <v>113</v>
      </c>
      <c r="R43" s="16" t="s">
        <v>127</v>
      </c>
      <c r="S43" s="16" t="s">
        <v>100</v>
      </c>
      <c r="T43" s="16" t="s">
        <v>118</v>
      </c>
      <c r="U43" s="16" t="s">
        <v>109</v>
      </c>
      <c r="V43" s="16" t="s">
        <v>104</v>
      </c>
      <c r="W43" s="16" t="s">
        <v>131</v>
      </c>
    </row>
    <row r="44" spans="1:23">
      <c r="A44" s="9" t="s">
        <v>835</v>
      </c>
      <c r="B44" s="9">
        <f ca="1">+IF(A44=WORLDCUP!$BI$112,1,0)</f>
        <v>0</v>
      </c>
      <c r="C44" s="9" t="str">
        <f ca="1">+WORLDCUP!BD60</f>
        <v>Scotland</v>
      </c>
      <c r="D44" s="9" t="str">
        <f ca="1">+WORLDCUP!BD64</f>
        <v>Egypt</v>
      </c>
      <c r="E44" s="9" t="str">
        <f ca="1">+WORLDCUP!BD62</f>
        <v>Ivory Coast</v>
      </c>
      <c r="F44" s="9" t="str">
        <f ca="1">+WORLDCUP!BD61</f>
        <v>Australia</v>
      </c>
      <c r="G44" s="9" t="str">
        <f ca="1">+WORLDCUP!BD65</f>
        <v>Saudi Arabia</v>
      </c>
      <c r="H44" s="9" t="str">
        <f ca="1">+WORLDCUP!BD63</f>
        <v>Tunisia</v>
      </c>
      <c r="I44" s="9" t="str">
        <f ca="1">+WORLDCUP!BD69</f>
        <v>Croatia</v>
      </c>
      <c r="J44" s="9" t="str">
        <f ca="1">+WORLDCUP!BD66</f>
        <v>Norway</v>
      </c>
      <c r="N44" s="16" t="s">
        <v>835</v>
      </c>
      <c r="O44" s="16">
        <v>43</v>
      </c>
      <c r="P44" s="16" t="s">
        <v>95</v>
      </c>
      <c r="Q44" s="16" t="s">
        <v>113</v>
      </c>
      <c r="R44" s="16" t="s">
        <v>104</v>
      </c>
      <c r="S44" s="16" t="s">
        <v>100</v>
      </c>
      <c r="T44" s="16" t="s">
        <v>118</v>
      </c>
      <c r="U44" s="16" t="s">
        <v>109</v>
      </c>
      <c r="V44" s="16" t="s">
        <v>136</v>
      </c>
      <c r="W44" s="16" t="s">
        <v>122</v>
      </c>
    </row>
    <row r="45" spans="1:23">
      <c r="A45" s="9" t="s">
        <v>836</v>
      </c>
      <c r="B45" s="9">
        <f ca="1">+IF(A45=WORLDCUP!$BI$112,1,0)</f>
        <v>0</v>
      </c>
      <c r="C45" s="9" t="str">
        <f ca="1">+WORLDCUP!BD60</f>
        <v>Scotland</v>
      </c>
      <c r="D45" s="9" t="str">
        <f ca="1">+WORLDCUP!BD64</f>
        <v>Egypt</v>
      </c>
      <c r="E45" s="9" t="str">
        <f ca="1">+WORLDCUP!BD62</f>
        <v>Ivory Coast</v>
      </c>
      <c r="F45" s="9" t="str">
        <f ca="1">+WORLDCUP!BD61</f>
        <v>Australia</v>
      </c>
      <c r="G45" s="9" t="str">
        <f ca="1">+WORLDCUP!BD65</f>
        <v>Saudi Arabia</v>
      </c>
      <c r="H45" s="9" t="str">
        <f ca="1">+WORLDCUP!BD63</f>
        <v>Tunisia</v>
      </c>
      <c r="I45" s="9" t="str">
        <f ca="1">+WORLDCUP!BD66</f>
        <v>Norway</v>
      </c>
      <c r="J45" s="9" t="str">
        <f ca="1">+WORLDCUP!BD68</f>
        <v>DR Congo</v>
      </c>
      <c r="N45" s="16" t="s">
        <v>836</v>
      </c>
      <c r="O45" s="16">
        <v>44</v>
      </c>
      <c r="P45" s="16" t="s">
        <v>95</v>
      </c>
      <c r="Q45" s="16" t="s">
        <v>113</v>
      </c>
      <c r="R45" s="16" t="s">
        <v>104</v>
      </c>
      <c r="S45" s="16" t="s">
        <v>100</v>
      </c>
      <c r="T45" s="16" t="s">
        <v>118</v>
      </c>
      <c r="U45" s="16" t="s">
        <v>109</v>
      </c>
      <c r="V45" s="16" t="s">
        <v>122</v>
      </c>
      <c r="W45" s="16" t="s">
        <v>131</v>
      </c>
    </row>
    <row r="46" spans="1:23">
      <c r="A46" s="9" t="s">
        <v>837</v>
      </c>
      <c r="B46" s="9">
        <f ca="1">+IF(A46=WORLDCUP!$BI$112,1,0)</f>
        <v>0</v>
      </c>
      <c r="C46" s="9" t="str">
        <f ca="1">+WORLDCUP!BD60</f>
        <v>Scotland</v>
      </c>
      <c r="D46" s="9" t="str">
        <f ca="1">+WORLDCUP!BD64</f>
        <v>Egypt</v>
      </c>
      <c r="E46" s="9" t="str">
        <f ca="1">+WORLDCUP!BD67</f>
        <v>Algeria</v>
      </c>
      <c r="F46" s="9" t="str">
        <f ca="1">+WORLDCUP!BD61</f>
        <v>Australia</v>
      </c>
      <c r="G46" s="9" t="str">
        <f ca="1">+WORLDCUP!BD65</f>
        <v>Saudi Arabia</v>
      </c>
      <c r="H46" s="9" t="str">
        <f ca="1">+WORLDCUP!BD63</f>
        <v>Tunisia</v>
      </c>
      <c r="I46" s="9" t="str">
        <f ca="1">+WORLDCUP!BD62</f>
        <v>Ivory Coast</v>
      </c>
      <c r="J46" s="9" t="str">
        <f ca="1">+WORLDCUP!BD66</f>
        <v>Norway</v>
      </c>
      <c r="N46" s="16" t="s">
        <v>837</v>
      </c>
      <c r="O46" s="16">
        <v>45</v>
      </c>
      <c r="P46" s="16" t="s">
        <v>95</v>
      </c>
      <c r="Q46" s="16" t="s">
        <v>113</v>
      </c>
      <c r="R46" s="16" t="s">
        <v>127</v>
      </c>
      <c r="S46" s="16" t="s">
        <v>100</v>
      </c>
      <c r="T46" s="16" t="s">
        <v>118</v>
      </c>
      <c r="U46" s="16" t="s">
        <v>109</v>
      </c>
      <c r="V46" s="16" t="s">
        <v>104</v>
      </c>
      <c r="W46" s="16" t="s">
        <v>122</v>
      </c>
    </row>
    <row r="47" spans="1:23">
      <c r="A47" s="9" t="s">
        <v>838</v>
      </c>
      <c r="B47" s="9">
        <f ca="1">+IF(A47=WORLDCUP!$BI$112,1,0)</f>
        <v>0</v>
      </c>
      <c r="C47" s="9" t="str">
        <f ca="1">+WORLDCUP!BD65</f>
        <v>Saudi Arabia</v>
      </c>
      <c r="D47" s="9" t="str">
        <f ca="1">+WORLDCUP!BD67</f>
        <v>Algeria</v>
      </c>
      <c r="E47" s="9" t="str">
        <f ca="1">+WORLDCUP!BD59</f>
        <v>Switzerland</v>
      </c>
      <c r="F47" s="9" t="str">
        <f ca="1">+WORLDCUP!BD63</f>
        <v>Tunisia</v>
      </c>
      <c r="G47" s="9" t="str">
        <f ca="1">+WORLDCUP!BD66</f>
        <v>Norway</v>
      </c>
      <c r="H47" s="9" t="str">
        <f ca="1">+WORLDCUP!BD64</f>
        <v>Egypt</v>
      </c>
      <c r="I47" s="9" t="str">
        <f ca="1">+WORLDCUP!BD69</f>
        <v>Croatia</v>
      </c>
      <c r="J47" s="9" t="str">
        <f ca="1">+WORLDCUP!BD68</f>
        <v>DR Congo</v>
      </c>
      <c r="N47" s="16" t="s">
        <v>838</v>
      </c>
      <c r="O47" s="16">
        <v>46</v>
      </c>
      <c r="P47" s="16" t="s">
        <v>118</v>
      </c>
      <c r="Q47" s="16" t="s">
        <v>127</v>
      </c>
      <c r="R47" s="16" t="s">
        <v>91</v>
      </c>
      <c r="S47" s="16" t="s">
        <v>109</v>
      </c>
      <c r="T47" s="16" t="s">
        <v>122</v>
      </c>
      <c r="U47" s="16" t="s">
        <v>113</v>
      </c>
      <c r="V47" s="16" t="s">
        <v>136</v>
      </c>
      <c r="W47" s="16" t="s">
        <v>131</v>
      </c>
    </row>
    <row r="48" spans="1:23">
      <c r="A48" s="9" t="s">
        <v>839</v>
      </c>
      <c r="B48" s="9">
        <f ca="1">+IF(A48=WORLDCUP!$BI$112,1,0)</f>
        <v>0</v>
      </c>
      <c r="C48" s="9" t="str">
        <f ca="1">+WORLDCUP!BD62</f>
        <v>Ivory Coast</v>
      </c>
      <c r="D48" s="9" t="str">
        <f ca="1">+WORLDCUP!BD67</f>
        <v>Algeria</v>
      </c>
      <c r="E48" s="9" t="str">
        <f ca="1">+WORLDCUP!BD66</f>
        <v>Norway</v>
      </c>
      <c r="F48" s="9" t="str">
        <f ca="1">+WORLDCUP!BD59</f>
        <v>Switzerland</v>
      </c>
      <c r="G48" s="9" t="str">
        <f ca="1">+WORLDCUP!BD65</f>
        <v>Saudi Arabia</v>
      </c>
      <c r="H48" s="9" t="str">
        <f ca="1">+WORLDCUP!BD64</f>
        <v>Egypt</v>
      </c>
      <c r="I48" s="9" t="str">
        <f ca="1">+WORLDCUP!BD69</f>
        <v>Croatia</v>
      </c>
      <c r="J48" s="9" t="str">
        <f ca="1">+WORLDCUP!BD68</f>
        <v>DR Congo</v>
      </c>
      <c r="N48" s="16" t="s">
        <v>839</v>
      </c>
      <c r="O48" s="16">
        <v>47</v>
      </c>
      <c r="P48" s="16" t="s">
        <v>104</v>
      </c>
      <c r="Q48" s="16" t="s">
        <v>127</v>
      </c>
      <c r="R48" s="16" t="s">
        <v>122</v>
      </c>
      <c r="S48" s="16" t="s">
        <v>91</v>
      </c>
      <c r="T48" s="16" t="s">
        <v>118</v>
      </c>
      <c r="U48" s="16" t="s">
        <v>113</v>
      </c>
      <c r="V48" s="16" t="s">
        <v>136</v>
      </c>
      <c r="W48" s="16" t="s">
        <v>131</v>
      </c>
    </row>
    <row r="49" spans="1:23">
      <c r="A49" s="9" t="s">
        <v>840</v>
      </c>
      <c r="B49" s="9">
        <f ca="1">+IF(A49=WORLDCUP!$BI$112,1,0)</f>
        <v>0</v>
      </c>
      <c r="C49" s="9" t="str">
        <f ca="1">+WORLDCUP!BD62</f>
        <v>Ivory Coast</v>
      </c>
      <c r="D49" s="9" t="str">
        <f ca="1">+WORLDCUP!BD67</f>
        <v>Algeria</v>
      </c>
      <c r="E49" s="9" t="str">
        <f ca="1">+WORLDCUP!BD59</f>
        <v>Switzerland</v>
      </c>
      <c r="F49" s="9" t="str">
        <f ca="1">+WORLDCUP!BD63</f>
        <v>Tunisia</v>
      </c>
      <c r="G49" s="9" t="str">
        <f ca="1">+WORLDCUP!BD66</f>
        <v>Norway</v>
      </c>
      <c r="H49" s="9" t="str">
        <f ca="1">+WORLDCUP!BD65</f>
        <v>Saudi Arabia</v>
      </c>
      <c r="I49" s="9" t="str">
        <f ca="1">+WORLDCUP!BD69</f>
        <v>Croatia</v>
      </c>
      <c r="J49" s="9" t="str">
        <f ca="1">+WORLDCUP!BD68</f>
        <v>DR Congo</v>
      </c>
      <c r="N49" s="16" t="s">
        <v>840</v>
      </c>
      <c r="O49" s="16">
        <v>48</v>
      </c>
      <c r="P49" s="16" t="s">
        <v>104</v>
      </c>
      <c r="Q49" s="16" t="s">
        <v>127</v>
      </c>
      <c r="R49" s="16" t="s">
        <v>91</v>
      </c>
      <c r="S49" s="16" t="s">
        <v>109</v>
      </c>
      <c r="T49" s="16" t="s">
        <v>122</v>
      </c>
      <c r="U49" s="16" t="s">
        <v>118</v>
      </c>
      <c r="V49" s="16" t="s">
        <v>136</v>
      </c>
      <c r="W49" s="16" t="s">
        <v>131</v>
      </c>
    </row>
    <row r="50" spans="1:23">
      <c r="A50" s="9" t="s">
        <v>841</v>
      </c>
      <c r="B50" s="9">
        <f ca="1">+IF(A50=WORLDCUP!$BI$112,1,0)</f>
        <v>0</v>
      </c>
      <c r="C50" s="9" t="str">
        <f ca="1">+WORLDCUP!BD62</f>
        <v>Ivory Coast</v>
      </c>
      <c r="D50" s="9" t="str">
        <f ca="1">+WORLDCUP!BD67</f>
        <v>Algeria</v>
      </c>
      <c r="E50" s="9" t="str">
        <f ca="1">+WORLDCUP!BD59</f>
        <v>Switzerland</v>
      </c>
      <c r="F50" s="9" t="str">
        <f ca="1">+WORLDCUP!BD63</f>
        <v>Tunisia</v>
      </c>
      <c r="G50" s="9" t="str">
        <f ca="1">+WORLDCUP!BD66</f>
        <v>Norway</v>
      </c>
      <c r="H50" s="9" t="str">
        <f ca="1">+WORLDCUP!BD64</f>
        <v>Egypt</v>
      </c>
      <c r="I50" s="9" t="str">
        <f ca="1">+WORLDCUP!BD69</f>
        <v>Croatia</v>
      </c>
      <c r="J50" s="9" t="str">
        <f ca="1">+WORLDCUP!BD68</f>
        <v>DR Congo</v>
      </c>
      <c r="N50" s="16" t="s">
        <v>841</v>
      </c>
      <c r="O50" s="16">
        <v>49</v>
      </c>
      <c r="P50" s="16" t="s">
        <v>104</v>
      </c>
      <c r="Q50" s="16" t="s">
        <v>127</v>
      </c>
      <c r="R50" s="16" t="s">
        <v>91</v>
      </c>
      <c r="S50" s="16" t="s">
        <v>109</v>
      </c>
      <c r="T50" s="16" t="s">
        <v>122</v>
      </c>
      <c r="U50" s="16" t="s">
        <v>113</v>
      </c>
      <c r="V50" s="16" t="s">
        <v>136</v>
      </c>
      <c r="W50" s="16" t="s">
        <v>131</v>
      </c>
    </row>
    <row r="51" spans="1:23">
      <c r="A51" s="9" t="s">
        <v>842</v>
      </c>
      <c r="B51" s="9">
        <f ca="1">+IF(A51=WORLDCUP!$BI$112,1,0)</f>
        <v>0</v>
      </c>
      <c r="C51" s="9" t="str">
        <f ca="1">+WORLDCUP!BD62</f>
        <v>Ivory Coast</v>
      </c>
      <c r="D51" s="9" t="str">
        <f ca="1">+WORLDCUP!BD67</f>
        <v>Algeria</v>
      </c>
      <c r="E51" s="9" t="str">
        <f ca="1">+WORLDCUP!BD59</f>
        <v>Switzerland</v>
      </c>
      <c r="F51" s="9" t="str">
        <f ca="1">+WORLDCUP!BD63</f>
        <v>Tunisia</v>
      </c>
      <c r="G51" s="9" t="str">
        <f ca="1">+WORLDCUP!BD65</f>
        <v>Saudi Arabia</v>
      </c>
      <c r="H51" s="9" t="str">
        <f ca="1">+WORLDCUP!BD64</f>
        <v>Egypt</v>
      </c>
      <c r="I51" s="9" t="str">
        <f ca="1">+WORLDCUP!BD69</f>
        <v>Croatia</v>
      </c>
      <c r="J51" s="9" t="str">
        <f ca="1">+WORLDCUP!BD68</f>
        <v>DR Congo</v>
      </c>
      <c r="N51" s="16" t="s">
        <v>842</v>
      </c>
      <c r="O51" s="16">
        <v>50</v>
      </c>
      <c r="P51" s="16" t="s">
        <v>104</v>
      </c>
      <c r="Q51" s="16" t="s">
        <v>127</v>
      </c>
      <c r="R51" s="16" t="s">
        <v>91</v>
      </c>
      <c r="S51" s="16" t="s">
        <v>109</v>
      </c>
      <c r="T51" s="16" t="s">
        <v>118</v>
      </c>
      <c r="U51" s="16" t="s">
        <v>113</v>
      </c>
      <c r="V51" s="16" t="s">
        <v>136</v>
      </c>
      <c r="W51" s="16" t="s">
        <v>131</v>
      </c>
    </row>
    <row r="52" spans="1:23">
      <c r="A52" s="9" t="s">
        <v>843</v>
      </c>
      <c r="B52" s="9">
        <f ca="1">+IF(A52=WORLDCUP!$BI$112,1,0)</f>
        <v>0</v>
      </c>
      <c r="C52" s="9" t="str">
        <f ca="1">+WORLDCUP!BD62</f>
        <v>Ivory Coast</v>
      </c>
      <c r="D52" s="9" t="str">
        <f ca="1">+WORLDCUP!BD64</f>
        <v>Egypt</v>
      </c>
      <c r="E52" s="9" t="str">
        <f ca="1">+WORLDCUP!BD59</f>
        <v>Switzerland</v>
      </c>
      <c r="F52" s="9" t="str">
        <f ca="1">+WORLDCUP!BD63</f>
        <v>Tunisia</v>
      </c>
      <c r="G52" s="9" t="str">
        <f ca="1">+WORLDCUP!BD66</f>
        <v>Norway</v>
      </c>
      <c r="H52" s="9" t="str">
        <f ca="1">+WORLDCUP!BD65</f>
        <v>Saudi Arabia</v>
      </c>
      <c r="I52" s="9" t="str">
        <f ca="1">+WORLDCUP!BD69</f>
        <v>Croatia</v>
      </c>
      <c r="J52" s="9" t="str">
        <f ca="1">+WORLDCUP!BD68</f>
        <v>DR Congo</v>
      </c>
      <c r="N52" s="16" t="s">
        <v>843</v>
      </c>
      <c r="O52" s="16">
        <v>51</v>
      </c>
      <c r="P52" s="16" t="s">
        <v>104</v>
      </c>
      <c r="Q52" s="16" t="s">
        <v>113</v>
      </c>
      <c r="R52" s="16" t="s">
        <v>91</v>
      </c>
      <c r="S52" s="16" t="s">
        <v>109</v>
      </c>
      <c r="T52" s="16" t="s">
        <v>122</v>
      </c>
      <c r="U52" s="16" t="s">
        <v>118</v>
      </c>
      <c r="V52" s="16" t="s">
        <v>136</v>
      </c>
      <c r="W52" s="16" t="s">
        <v>131</v>
      </c>
    </row>
    <row r="53" spans="1:23">
      <c r="A53" s="9" t="s">
        <v>844</v>
      </c>
      <c r="B53" s="9">
        <f ca="1">+IF(A53=WORLDCUP!$BI$112,1,0)</f>
        <v>0</v>
      </c>
      <c r="C53" s="9" t="str">
        <f ca="1">+WORLDCUP!BD62</f>
        <v>Ivory Coast</v>
      </c>
      <c r="D53" s="9" t="str">
        <f ca="1">+WORLDCUP!BD67</f>
        <v>Algeria</v>
      </c>
      <c r="E53" s="9" t="str">
        <f ca="1">+WORLDCUP!BD59</f>
        <v>Switzerland</v>
      </c>
      <c r="F53" s="9" t="str">
        <f ca="1">+WORLDCUP!BD63</f>
        <v>Tunisia</v>
      </c>
      <c r="G53" s="9" t="str">
        <f ca="1">+WORLDCUP!BD65</f>
        <v>Saudi Arabia</v>
      </c>
      <c r="H53" s="9" t="str">
        <f ca="1">+WORLDCUP!BD64</f>
        <v>Egypt</v>
      </c>
      <c r="I53" s="9" t="str">
        <f ca="1">+WORLDCUP!BD69</f>
        <v>Croatia</v>
      </c>
      <c r="J53" s="9" t="str">
        <f ca="1">+WORLDCUP!BD66</f>
        <v>Norway</v>
      </c>
      <c r="N53" s="16" t="s">
        <v>844</v>
      </c>
      <c r="O53" s="16">
        <v>52</v>
      </c>
      <c r="P53" s="16" t="s">
        <v>104</v>
      </c>
      <c r="Q53" s="16" t="s">
        <v>127</v>
      </c>
      <c r="R53" s="16" t="s">
        <v>91</v>
      </c>
      <c r="S53" s="16" t="s">
        <v>109</v>
      </c>
      <c r="T53" s="16" t="s">
        <v>118</v>
      </c>
      <c r="U53" s="16" t="s">
        <v>113</v>
      </c>
      <c r="V53" s="16" t="s">
        <v>136</v>
      </c>
      <c r="W53" s="16" t="s">
        <v>122</v>
      </c>
    </row>
    <row r="54" spans="1:23">
      <c r="A54" s="9" t="s">
        <v>845</v>
      </c>
      <c r="B54" s="9">
        <f ca="1">+IF(A54=WORLDCUP!$BI$112,1,0)</f>
        <v>0</v>
      </c>
      <c r="C54" s="9" t="str">
        <f ca="1">+WORLDCUP!BD62</f>
        <v>Ivory Coast</v>
      </c>
      <c r="D54" s="9" t="str">
        <f ca="1">+WORLDCUP!BD67</f>
        <v>Algeria</v>
      </c>
      <c r="E54" s="9" t="str">
        <f ca="1">+WORLDCUP!BD59</f>
        <v>Switzerland</v>
      </c>
      <c r="F54" s="9" t="str">
        <f ca="1">+WORLDCUP!BD63</f>
        <v>Tunisia</v>
      </c>
      <c r="G54" s="9" t="str">
        <f ca="1">+WORLDCUP!BD65</f>
        <v>Saudi Arabia</v>
      </c>
      <c r="H54" s="9" t="str">
        <f ca="1">+WORLDCUP!BD64</f>
        <v>Egypt</v>
      </c>
      <c r="I54" s="9" t="str">
        <f ca="1">+WORLDCUP!BD66</f>
        <v>Norway</v>
      </c>
      <c r="J54" s="9" t="str">
        <f ca="1">+WORLDCUP!BD68</f>
        <v>DR Congo</v>
      </c>
      <c r="N54" s="16" t="s">
        <v>845</v>
      </c>
      <c r="O54" s="16">
        <v>53</v>
      </c>
      <c r="P54" s="16" t="s">
        <v>104</v>
      </c>
      <c r="Q54" s="16" t="s">
        <v>127</v>
      </c>
      <c r="R54" s="16" t="s">
        <v>91</v>
      </c>
      <c r="S54" s="16" t="s">
        <v>109</v>
      </c>
      <c r="T54" s="16" t="s">
        <v>118</v>
      </c>
      <c r="U54" s="16" t="s">
        <v>113</v>
      </c>
      <c r="V54" s="16" t="s">
        <v>122</v>
      </c>
      <c r="W54" s="16" t="s">
        <v>131</v>
      </c>
    </row>
    <row r="55" spans="1:23">
      <c r="A55" s="9" t="s">
        <v>846</v>
      </c>
      <c r="B55" s="9">
        <f ca="1">+IF(A55=WORLDCUP!$BI$112,1,0)</f>
        <v>0</v>
      </c>
      <c r="C55" s="9" t="str">
        <f ca="1">+WORLDCUP!BD65</f>
        <v>Saudi Arabia</v>
      </c>
      <c r="D55" s="9" t="str">
        <f ca="1">+WORLDCUP!BD67</f>
        <v>Algeria</v>
      </c>
      <c r="E55" s="9" t="str">
        <f ca="1">+WORLDCUP!BD59</f>
        <v>Switzerland</v>
      </c>
      <c r="F55" s="9" t="str">
        <f ca="1">+WORLDCUP!BD61</f>
        <v>Australia</v>
      </c>
      <c r="G55" s="9" t="str">
        <f ca="1">+WORLDCUP!BD66</f>
        <v>Norway</v>
      </c>
      <c r="H55" s="9" t="str">
        <f ca="1">+WORLDCUP!BD64</f>
        <v>Egypt</v>
      </c>
      <c r="I55" s="9" t="str">
        <f ca="1">+WORLDCUP!BD69</f>
        <v>Croatia</v>
      </c>
      <c r="J55" s="9" t="str">
        <f ca="1">+WORLDCUP!BD68</f>
        <v>DR Congo</v>
      </c>
      <c r="N55" s="16" t="s">
        <v>846</v>
      </c>
      <c r="O55" s="16">
        <v>54</v>
      </c>
      <c r="P55" s="16" t="s">
        <v>118</v>
      </c>
      <c r="Q55" s="16" t="s">
        <v>127</v>
      </c>
      <c r="R55" s="16" t="s">
        <v>91</v>
      </c>
      <c r="S55" s="16" t="s">
        <v>100</v>
      </c>
      <c r="T55" s="16" t="s">
        <v>122</v>
      </c>
      <c r="U55" s="16" t="s">
        <v>113</v>
      </c>
      <c r="V55" s="16" t="s">
        <v>136</v>
      </c>
      <c r="W55" s="16" t="s">
        <v>131</v>
      </c>
    </row>
    <row r="56" spans="1:23">
      <c r="A56" s="9" t="s">
        <v>847</v>
      </c>
      <c r="B56" s="9">
        <f ca="1">+IF(A56=WORLDCUP!$BI$112,1,0)</f>
        <v>0</v>
      </c>
      <c r="C56" s="9" t="str">
        <f ca="1">+WORLDCUP!BD65</f>
        <v>Saudi Arabia</v>
      </c>
      <c r="D56" s="9" t="str">
        <f ca="1">+WORLDCUP!BD67</f>
        <v>Algeria</v>
      </c>
      <c r="E56" s="9" t="str">
        <f ca="1">+WORLDCUP!BD59</f>
        <v>Switzerland</v>
      </c>
      <c r="F56" s="9" t="str">
        <f ca="1">+WORLDCUP!BD61</f>
        <v>Australia</v>
      </c>
      <c r="G56" s="9" t="str">
        <f ca="1">+WORLDCUP!BD66</f>
        <v>Norway</v>
      </c>
      <c r="H56" s="9" t="str">
        <f ca="1">+WORLDCUP!BD63</f>
        <v>Tunisia</v>
      </c>
      <c r="I56" s="9" t="str">
        <f ca="1">+WORLDCUP!BD69</f>
        <v>Croatia</v>
      </c>
      <c r="J56" s="9" t="str">
        <f ca="1">+WORLDCUP!BD68</f>
        <v>DR Congo</v>
      </c>
      <c r="N56" s="16" t="s">
        <v>847</v>
      </c>
      <c r="O56" s="16">
        <v>55</v>
      </c>
      <c r="P56" s="16" t="s">
        <v>118</v>
      </c>
      <c r="Q56" s="16" t="s">
        <v>127</v>
      </c>
      <c r="R56" s="16" t="s">
        <v>91</v>
      </c>
      <c r="S56" s="16" t="s">
        <v>100</v>
      </c>
      <c r="T56" s="16" t="s">
        <v>122</v>
      </c>
      <c r="U56" s="16" t="s">
        <v>109</v>
      </c>
      <c r="V56" s="16" t="s">
        <v>136</v>
      </c>
      <c r="W56" s="16" t="s">
        <v>131</v>
      </c>
    </row>
    <row r="57" spans="1:23">
      <c r="A57" s="9" t="s">
        <v>848</v>
      </c>
      <c r="B57" s="9">
        <f ca="1">+IF(A57=WORLDCUP!$BI$112,1,0)</f>
        <v>0</v>
      </c>
      <c r="C57" s="9" t="str">
        <f ca="1">+WORLDCUP!BD66</f>
        <v>Norway</v>
      </c>
      <c r="D57" s="9" t="str">
        <f ca="1">+WORLDCUP!BD64</f>
        <v>Egypt</v>
      </c>
      <c r="E57" s="9" t="str">
        <f ca="1">+WORLDCUP!BD59</f>
        <v>Switzerland</v>
      </c>
      <c r="F57" s="9" t="str">
        <f ca="1">+WORLDCUP!BD61</f>
        <v>Australia</v>
      </c>
      <c r="G57" s="9" t="str">
        <f ca="1">+WORLDCUP!BD67</f>
        <v>Algeria</v>
      </c>
      <c r="H57" s="9" t="str">
        <f ca="1">+WORLDCUP!BD63</f>
        <v>Tunisia</v>
      </c>
      <c r="I57" s="9" t="str">
        <f ca="1">+WORLDCUP!BD69</f>
        <v>Croatia</v>
      </c>
      <c r="J57" s="9" t="str">
        <f ca="1">+WORLDCUP!BD68</f>
        <v>DR Congo</v>
      </c>
      <c r="N57" s="16" t="s">
        <v>848</v>
      </c>
      <c r="O57" s="16">
        <v>56</v>
      </c>
      <c r="P57" s="16" t="s">
        <v>122</v>
      </c>
      <c r="Q57" s="16" t="s">
        <v>113</v>
      </c>
      <c r="R57" s="16" t="s">
        <v>91</v>
      </c>
      <c r="S57" s="16" t="s">
        <v>100</v>
      </c>
      <c r="T57" s="16" t="s">
        <v>127</v>
      </c>
      <c r="U57" s="16" t="s">
        <v>109</v>
      </c>
      <c r="V57" s="16" t="s">
        <v>136</v>
      </c>
      <c r="W57" s="16" t="s">
        <v>131</v>
      </c>
    </row>
    <row r="58" spans="1:23">
      <c r="A58" s="9" t="s">
        <v>849</v>
      </c>
      <c r="B58" s="9">
        <f ca="1">+IF(A58=WORLDCUP!$BI$112,1,0)</f>
        <v>0</v>
      </c>
      <c r="C58" s="9" t="str">
        <f ca="1">+WORLDCUP!BD65</f>
        <v>Saudi Arabia</v>
      </c>
      <c r="D58" s="9" t="str">
        <f ca="1">+WORLDCUP!BD64</f>
        <v>Egypt</v>
      </c>
      <c r="E58" s="9" t="str">
        <f ca="1">+WORLDCUP!BD59</f>
        <v>Switzerland</v>
      </c>
      <c r="F58" s="9" t="str">
        <f ca="1">+WORLDCUP!BD61</f>
        <v>Australia</v>
      </c>
      <c r="G58" s="9" t="str">
        <f ca="1">+WORLDCUP!BD67</f>
        <v>Algeria</v>
      </c>
      <c r="H58" s="9" t="str">
        <f ca="1">+WORLDCUP!BD63</f>
        <v>Tunisia</v>
      </c>
      <c r="I58" s="9" t="str">
        <f ca="1">+WORLDCUP!BD69</f>
        <v>Croatia</v>
      </c>
      <c r="J58" s="9" t="str">
        <f ca="1">+WORLDCUP!BD68</f>
        <v>DR Congo</v>
      </c>
      <c r="N58" s="16" t="s">
        <v>849</v>
      </c>
      <c r="O58" s="16">
        <v>57</v>
      </c>
      <c r="P58" s="16" t="s">
        <v>118</v>
      </c>
      <c r="Q58" s="16" t="s">
        <v>113</v>
      </c>
      <c r="R58" s="16" t="s">
        <v>91</v>
      </c>
      <c r="S58" s="16" t="s">
        <v>100</v>
      </c>
      <c r="T58" s="16" t="s">
        <v>127</v>
      </c>
      <c r="U58" s="16" t="s">
        <v>109</v>
      </c>
      <c r="V58" s="16" t="s">
        <v>136</v>
      </c>
      <c r="W58" s="16" t="s">
        <v>131</v>
      </c>
    </row>
    <row r="59" spans="1:23">
      <c r="A59" s="9" t="s">
        <v>850</v>
      </c>
      <c r="B59" s="9">
        <f ca="1">+IF(A59=WORLDCUP!$BI$112,1,0)</f>
        <v>0</v>
      </c>
      <c r="C59" s="9" t="str">
        <f ca="1">+WORLDCUP!BD65</f>
        <v>Saudi Arabia</v>
      </c>
      <c r="D59" s="9" t="str">
        <f ca="1">+WORLDCUP!BD64</f>
        <v>Egypt</v>
      </c>
      <c r="E59" s="9" t="str">
        <f ca="1">+WORLDCUP!BD59</f>
        <v>Switzerland</v>
      </c>
      <c r="F59" s="9" t="str">
        <f ca="1">+WORLDCUP!BD61</f>
        <v>Australia</v>
      </c>
      <c r="G59" s="9" t="str">
        <f ca="1">+WORLDCUP!BD66</f>
        <v>Norway</v>
      </c>
      <c r="H59" s="9" t="str">
        <f ca="1">+WORLDCUP!BD63</f>
        <v>Tunisia</v>
      </c>
      <c r="I59" s="9" t="str">
        <f ca="1">+WORLDCUP!BD69</f>
        <v>Croatia</v>
      </c>
      <c r="J59" s="9" t="str">
        <f ca="1">+WORLDCUP!BD68</f>
        <v>DR Congo</v>
      </c>
      <c r="N59" s="16" t="s">
        <v>850</v>
      </c>
      <c r="O59" s="16">
        <v>58</v>
      </c>
      <c r="P59" s="16" t="s">
        <v>118</v>
      </c>
      <c r="Q59" s="16" t="s">
        <v>113</v>
      </c>
      <c r="R59" s="16" t="s">
        <v>91</v>
      </c>
      <c r="S59" s="16" t="s">
        <v>100</v>
      </c>
      <c r="T59" s="16" t="s">
        <v>122</v>
      </c>
      <c r="U59" s="16" t="s">
        <v>109</v>
      </c>
      <c r="V59" s="16" t="s">
        <v>136</v>
      </c>
      <c r="W59" s="16" t="s">
        <v>131</v>
      </c>
    </row>
    <row r="60" spans="1:23">
      <c r="A60" s="9" t="s">
        <v>851</v>
      </c>
      <c r="B60" s="9">
        <f ca="1">+IF(A60=WORLDCUP!$BI$112,1,0)</f>
        <v>0</v>
      </c>
      <c r="C60" s="9" t="str">
        <f ca="1">+WORLDCUP!BD65</f>
        <v>Saudi Arabia</v>
      </c>
      <c r="D60" s="9" t="str">
        <f ca="1">+WORLDCUP!BD64</f>
        <v>Egypt</v>
      </c>
      <c r="E60" s="9" t="str">
        <f ca="1">+WORLDCUP!BD59</f>
        <v>Switzerland</v>
      </c>
      <c r="F60" s="9" t="str">
        <f ca="1">+WORLDCUP!BD61</f>
        <v>Australia</v>
      </c>
      <c r="G60" s="9" t="str">
        <f ca="1">+WORLDCUP!BD67</f>
        <v>Algeria</v>
      </c>
      <c r="H60" s="9" t="str">
        <f ca="1">+WORLDCUP!BD63</f>
        <v>Tunisia</v>
      </c>
      <c r="I60" s="9" t="str">
        <f ca="1">+WORLDCUP!BD69</f>
        <v>Croatia</v>
      </c>
      <c r="J60" s="9" t="str">
        <f ca="1">+WORLDCUP!BD66</f>
        <v>Norway</v>
      </c>
      <c r="N60" s="16" t="s">
        <v>851</v>
      </c>
      <c r="O60" s="16">
        <v>59</v>
      </c>
      <c r="P60" s="16" t="s">
        <v>118</v>
      </c>
      <c r="Q60" s="16" t="s">
        <v>113</v>
      </c>
      <c r="R60" s="16" t="s">
        <v>91</v>
      </c>
      <c r="S60" s="16" t="s">
        <v>100</v>
      </c>
      <c r="T60" s="16" t="s">
        <v>127</v>
      </c>
      <c r="U60" s="16" t="s">
        <v>109</v>
      </c>
      <c r="V60" s="16" t="s">
        <v>136</v>
      </c>
      <c r="W60" s="16" t="s">
        <v>122</v>
      </c>
    </row>
    <row r="61" spans="1:23">
      <c r="A61" s="9" t="s">
        <v>852</v>
      </c>
      <c r="B61" s="9">
        <f ca="1">+IF(A61=WORLDCUP!$BI$112,1,0)</f>
        <v>0</v>
      </c>
      <c r="C61" s="9" t="str">
        <f ca="1">+WORLDCUP!BD65</f>
        <v>Saudi Arabia</v>
      </c>
      <c r="D61" s="9" t="str">
        <f ca="1">+WORLDCUP!BD64</f>
        <v>Egypt</v>
      </c>
      <c r="E61" s="9" t="str">
        <f ca="1">+WORLDCUP!BD59</f>
        <v>Switzerland</v>
      </c>
      <c r="F61" s="9" t="str">
        <f ca="1">+WORLDCUP!BD61</f>
        <v>Australia</v>
      </c>
      <c r="G61" s="9" t="str">
        <f ca="1">+WORLDCUP!BD67</f>
        <v>Algeria</v>
      </c>
      <c r="H61" s="9" t="str">
        <f ca="1">+WORLDCUP!BD63</f>
        <v>Tunisia</v>
      </c>
      <c r="I61" s="9" t="str">
        <f ca="1">+WORLDCUP!BD66</f>
        <v>Norway</v>
      </c>
      <c r="J61" s="9" t="str">
        <f ca="1">+WORLDCUP!BD68</f>
        <v>DR Congo</v>
      </c>
      <c r="N61" s="16" t="s">
        <v>852</v>
      </c>
      <c r="O61" s="16">
        <v>60</v>
      </c>
      <c r="P61" s="16" t="s">
        <v>118</v>
      </c>
      <c r="Q61" s="16" t="s">
        <v>113</v>
      </c>
      <c r="R61" s="16" t="s">
        <v>91</v>
      </c>
      <c r="S61" s="16" t="s">
        <v>100</v>
      </c>
      <c r="T61" s="16" t="s">
        <v>127</v>
      </c>
      <c r="U61" s="16" t="s">
        <v>109</v>
      </c>
      <c r="V61" s="16" t="s">
        <v>122</v>
      </c>
      <c r="W61" s="16" t="s">
        <v>131</v>
      </c>
    </row>
    <row r="62" spans="1:23">
      <c r="A62" s="9" t="s">
        <v>853</v>
      </c>
      <c r="B62" s="9">
        <f ca="1">+IF(A62=WORLDCUP!$BI$112,1,0)</f>
        <v>0</v>
      </c>
      <c r="C62" s="9" t="str">
        <f ca="1">+WORLDCUP!BD62</f>
        <v>Ivory Coast</v>
      </c>
      <c r="D62" s="9" t="str">
        <f ca="1">+WORLDCUP!BD67</f>
        <v>Algeria</v>
      </c>
      <c r="E62" s="9" t="str">
        <f ca="1">+WORLDCUP!BD59</f>
        <v>Switzerland</v>
      </c>
      <c r="F62" s="9" t="str">
        <f ca="1">+WORLDCUP!BD61</f>
        <v>Australia</v>
      </c>
      <c r="G62" s="9" t="str">
        <f ca="1">+WORLDCUP!BD66</f>
        <v>Norway</v>
      </c>
      <c r="H62" s="9" t="str">
        <f ca="1">+WORLDCUP!BD65</f>
        <v>Saudi Arabia</v>
      </c>
      <c r="I62" s="9" t="str">
        <f ca="1">+WORLDCUP!BD69</f>
        <v>Croatia</v>
      </c>
      <c r="J62" s="9" t="str">
        <f ca="1">+WORLDCUP!BD68</f>
        <v>DR Congo</v>
      </c>
      <c r="N62" s="16" t="s">
        <v>853</v>
      </c>
      <c r="O62" s="16">
        <v>61</v>
      </c>
      <c r="P62" s="16" t="s">
        <v>104</v>
      </c>
      <c r="Q62" s="16" t="s">
        <v>127</v>
      </c>
      <c r="R62" s="16" t="s">
        <v>91</v>
      </c>
      <c r="S62" s="16" t="s">
        <v>100</v>
      </c>
      <c r="T62" s="16" t="s">
        <v>122</v>
      </c>
      <c r="U62" s="16" t="s">
        <v>118</v>
      </c>
      <c r="V62" s="16" t="s">
        <v>136</v>
      </c>
      <c r="W62" s="16" t="s">
        <v>131</v>
      </c>
    </row>
    <row r="63" spans="1:23">
      <c r="A63" s="9" t="s">
        <v>854</v>
      </c>
      <c r="B63" s="9">
        <f ca="1">+IF(A63=WORLDCUP!$BI$112,1,0)</f>
        <v>0</v>
      </c>
      <c r="C63" s="9" t="str">
        <f ca="1">+WORLDCUP!BD62</f>
        <v>Ivory Coast</v>
      </c>
      <c r="D63" s="9" t="str">
        <f ca="1">+WORLDCUP!BD67</f>
        <v>Algeria</v>
      </c>
      <c r="E63" s="9" t="str">
        <f ca="1">+WORLDCUP!BD59</f>
        <v>Switzerland</v>
      </c>
      <c r="F63" s="9" t="str">
        <f ca="1">+WORLDCUP!BD61</f>
        <v>Australia</v>
      </c>
      <c r="G63" s="9" t="str">
        <f ca="1">+WORLDCUP!BD66</f>
        <v>Norway</v>
      </c>
      <c r="H63" s="9" t="str">
        <f ca="1">+WORLDCUP!BD64</f>
        <v>Egypt</v>
      </c>
      <c r="I63" s="9" t="str">
        <f ca="1">+WORLDCUP!BD69</f>
        <v>Croatia</v>
      </c>
      <c r="J63" s="9" t="str">
        <f ca="1">+WORLDCUP!BD68</f>
        <v>DR Congo</v>
      </c>
      <c r="N63" s="16" t="s">
        <v>854</v>
      </c>
      <c r="O63" s="16">
        <v>62</v>
      </c>
      <c r="P63" s="16" t="s">
        <v>104</v>
      </c>
      <c r="Q63" s="16" t="s">
        <v>127</v>
      </c>
      <c r="R63" s="16" t="s">
        <v>91</v>
      </c>
      <c r="S63" s="16" t="s">
        <v>100</v>
      </c>
      <c r="T63" s="16" t="s">
        <v>122</v>
      </c>
      <c r="U63" s="16" t="s">
        <v>113</v>
      </c>
      <c r="V63" s="16" t="s">
        <v>136</v>
      </c>
      <c r="W63" s="16" t="s">
        <v>131</v>
      </c>
    </row>
    <row r="64" spans="1:23">
      <c r="A64" s="9" t="s">
        <v>855</v>
      </c>
      <c r="B64" s="9">
        <f ca="1">+IF(A64=WORLDCUP!$BI$112,1,0)</f>
        <v>0</v>
      </c>
      <c r="C64" s="9" t="str">
        <f ca="1">+WORLDCUP!BD62</f>
        <v>Ivory Coast</v>
      </c>
      <c r="D64" s="9" t="str">
        <f ca="1">+WORLDCUP!BD67</f>
        <v>Algeria</v>
      </c>
      <c r="E64" s="9" t="str">
        <f ca="1">+WORLDCUP!BD59</f>
        <v>Switzerland</v>
      </c>
      <c r="F64" s="9" t="str">
        <f ca="1">+WORLDCUP!BD61</f>
        <v>Australia</v>
      </c>
      <c r="G64" s="9" t="str">
        <f ca="1">+WORLDCUP!BD65</f>
        <v>Saudi Arabia</v>
      </c>
      <c r="H64" s="9" t="str">
        <f ca="1">+WORLDCUP!BD64</f>
        <v>Egypt</v>
      </c>
      <c r="I64" s="9" t="str">
        <f ca="1">+WORLDCUP!BD69</f>
        <v>Croatia</v>
      </c>
      <c r="J64" s="9" t="str">
        <f ca="1">+WORLDCUP!BD68</f>
        <v>DR Congo</v>
      </c>
      <c r="N64" s="16" t="s">
        <v>855</v>
      </c>
      <c r="O64" s="16">
        <v>63</v>
      </c>
      <c r="P64" s="16" t="s">
        <v>104</v>
      </c>
      <c r="Q64" s="16" t="s">
        <v>127</v>
      </c>
      <c r="R64" s="16" t="s">
        <v>91</v>
      </c>
      <c r="S64" s="16" t="s">
        <v>100</v>
      </c>
      <c r="T64" s="16" t="s">
        <v>118</v>
      </c>
      <c r="U64" s="16" t="s">
        <v>113</v>
      </c>
      <c r="V64" s="16" t="s">
        <v>136</v>
      </c>
      <c r="W64" s="16" t="s">
        <v>131</v>
      </c>
    </row>
    <row r="65" spans="1:23">
      <c r="A65" s="9" t="s">
        <v>856</v>
      </c>
      <c r="B65" s="9">
        <f ca="1">+IF(A65=WORLDCUP!$BI$112,1,0)</f>
        <v>0</v>
      </c>
      <c r="C65" s="9" t="str">
        <f ca="1">+WORLDCUP!BD62</f>
        <v>Ivory Coast</v>
      </c>
      <c r="D65" s="9" t="str">
        <f ca="1">+WORLDCUP!BD64</f>
        <v>Egypt</v>
      </c>
      <c r="E65" s="9" t="str">
        <f ca="1">+WORLDCUP!BD59</f>
        <v>Switzerland</v>
      </c>
      <c r="F65" s="9" t="str">
        <f ca="1">+WORLDCUP!BD61</f>
        <v>Australia</v>
      </c>
      <c r="G65" s="9" t="str">
        <f ca="1">+WORLDCUP!BD66</f>
        <v>Norway</v>
      </c>
      <c r="H65" s="9" t="str">
        <f ca="1">+WORLDCUP!BD65</f>
        <v>Saudi Arabia</v>
      </c>
      <c r="I65" s="9" t="str">
        <f ca="1">+WORLDCUP!BD69</f>
        <v>Croatia</v>
      </c>
      <c r="J65" s="9" t="str">
        <f ca="1">+WORLDCUP!BD68</f>
        <v>DR Congo</v>
      </c>
      <c r="N65" s="16" t="s">
        <v>856</v>
      </c>
      <c r="O65" s="16">
        <v>64</v>
      </c>
      <c r="P65" s="16" t="s">
        <v>104</v>
      </c>
      <c r="Q65" s="16" t="s">
        <v>113</v>
      </c>
      <c r="R65" s="16" t="s">
        <v>91</v>
      </c>
      <c r="S65" s="16" t="s">
        <v>100</v>
      </c>
      <c r="T65" s="16" t="s">
        <v>122</v>
      </c>
      <c r="U65" s="16" t="s">
        <v>118</v>
      </c>
      <c r="V65" s="16" t="s">
        <v>136</v>
      </c>
      <c r="W65" s="16" t="s">
        <v>131</v>
      </c>
    </row>
    <row r="66" spans="1:23">
      <c r="A66" s="9" t="s">
        <v>857</v>
      </c>
      <c r="B66" s="9">
        <f ca="1">+IF(A66=WORLDCUP!$BI$112,1,0)</f>
        <v>0</v>
      </c>
      <c r="C66" s="9" t="str">
        <f ca="1">+WORLDCUP!BD62</f>
        <v>Ivory Coast</v>
      </c>
      <c r="D66" s="9" t="str">
        <f ca="1">+WORLDCUP!BD67</f>
        <v>Algeria</v>
      </c>
      <c r="E66" s="9" t="str">
        <f ca="1">+WORLDCUP!BD59</f>
        <v>Switzerland</v>
      </c>
      <c r="F66" s="9" t="str">
        <f ca="1">+WORLDCUP!BD61</f>
        <v>Australia</v>
      </c>
      <c r="G66" s="9" t="str">
        <f ca="1">+WORLDCUP!BD65</f>
        <v>Saudi Arabia</v>
      </c>
      <c r="H66" s="9" t="str">
        <f ca="1">+WORLDCUP!BD64</f>
        <v>Egypt</v>
      </c>
      <c r="I66" s="9" t="str">
        <f ca="1">+WORLDCUP!BD69</f>
        <v>Croatia</v>
      </c>
      <c r="J66" s="9" t="str">
        <f ca="1">+WORLDCUP!BD66</f>
        <v>Norway</v>
      </c>
      <c r="N66" s="16" t="s">
        <v>857</v>
      </c>
      <c r="O66" s="16">
        <v>65</v>
      </c>
      <c r="P66" s="16" t="s">
        <v>104</v>
      </c>
      <c r="Q66" s="16" t="s">
        <v>127</v>
      </c>
      <c r="R66" s="16" t="s">
        <v>91</v>
      </c>
      <c r="S66" s="16" t="s">
        <v>100</v>
      </c>
      <c r="T66" s="16" t="s">
        <v>118</v>
      </c>
      <c r="U66" s="16" t="s">
        <v>113</v>
      </c>
      <c r="V66" s="16" t="s">
        <v>136</v>
      </c>
      <c r="W66" s="16" t="s">
        <v>122</v>
      </c>
    </row>
    <row r="67" spans="1:23">
      <c r="A67" s="9" t="s">
        <v>858</v>
      </c>
      <c r="B67" s="9">
        <f ca="1">+IF(A67=WORLDCUP!$BI$112,1,0)</f>
        <v>0</v>
      </c>
      <c r="C67" s="9" t="str">
        <f ca="1">+WORLDCUP!BD62</f>
        <v>Ivory Coast</v>
      </c>
      <c r="D67" s="9" t="str">
        <f ca="1">+WORLDCUP!BD67</f>
        <v>Algeria</v>
      </c>
      <c r="E67" s="9" t="str">
        <f ca="1">+WORLDCUP!BD59</f>
        <v>Switzerland</v>
      </c>
      <c r="F67" s="9" t="str">
        <f ca="1">+WORLDCUP!BD61</f>
        <v>Australia</v>
      </c>
      <c r="G67" s="9" t="str">
        <f ca="1">+WORLDCUP!BD65</f>
        <v>Saudi Arabia</v>
      </c>
      <c r="H67" s="9" t="str">
        <f ca="1">+WORLDCUP!BD64</f>
        <v>Egypt</v>
      </c>
      <c r="I67" s="9" t="str">
        <f ca="1">+WORLDCUP!BD66</f>
        <v>Norway</v>
      </c>
      <c r="J67" s="9" t="str">
        <f ca="1">+WORLDCUP!BD68</f>
        <v>DR Congo</v>
      </c>
      <c r="N67" s="16" t="s">
        <v>858</v>
      </c>
      <c r="O67" s="16">
        <v>66</v>
      </c>
      <c r="P67" s="16" t="s">
        <v>104</v>
      </c>
      <c r="Q67" s="16" t="s">
        <v>127</v>
      </c>
      <c r="R67" s="16" t="s">
        <v>91</v>
      </c>
      <c r="S67" s="16" t="s">
        <v>100</v>
      </c>
      <c r="T67" s="16" t="s">
        <v>118</v>
      </c>
      <c r="U67" s="16" t="s">
        <v>113</v>
      </c>
      <c r="V67" s="16" t="s">
        <v>122</v>
      </c>
      <c r="W67" s="16" t="s">
        <v>131</v>
      </c>
    </row>
    <row r="68" spans="1:23">
      <c r="A68" s="9" t="s">
        <v>859</v>
      </c>
      <c r="B68" s="9">
        <f ca="1">+IF(A68=WORLDCUP!$BI$112,1,0)</f>
        <v>0</v>
      </c>
      <c r="C68" s="9" t="str">
        <f ca="1">+WORLDCUP!BD62</f>
        <v>Ivory Coast</v>
      </c>
      <c r="D68" s="9" t="str">
        <f ca="1">+WORLDCUP!BD67</f>
        <v>Algeria</v>
      </c>
      <c r="E68" s="9" t="str">
        <f ca="1">+WORLDCUP!BD59</f>
        <v>Switzerland</v>
      </c>
      <c r="F68" s="9" t="str">
        <f ca="1">+WORLDCUP!BD61</f>
        <v>Australia</v>
      </c>
      <c r="G68" s="9" t="str">
        <f ca="1">+WORLDCUP!BD66</f>
        <v>Norway</v>
      </c>
      <c r="H68" s="9" t="str">
        <f ca="1">+WORLDCUP!BD63</f>
        <v>Tunisia</v>
      </c>
      <c r="I68" s="9" t="str">
        <f ca="1">+WORLDCUP!BD69</f>
        <v>Croatia</v>
      </c>
      <c r="J68" s="9" t="str">
        <f ca="1">+WORLDCUP!BD68</f>
        <v>DR Congo</v>
      </c>
      <c r="N68" s="16" t="s">
        <v>859</v>
      </c>
      <c r="O68" s="16">
        <v>67</v>
      </c>
      <c r="P68" s="16" t="s">
        <v>104</v>
      </c>
      <c r="Q68" s="16" t="s">
        <v>127</v>
      </c>
      <c r="R68" s="16" t="s">
        <v>91</v>
      </c>
      <c r="S68" s="16" t="s">
        <v>100</v>
      </c>
      <c r="T68" s="16" t="s">
        <v>122</v>
      </c>
      <c r="U68" s="16" t="s">
        <v>109</v>
      </c>
      <c r="V68" s="16" t="s">
        <v>136</v>
      </c>
      <c r="W68" s="16" t="s">
        <v>131</v>
      </c>
    </row>
    <row r="69" spans="1:23">
      <c r="A69" s="9" t="s">
        <v>860</v>
      </c>
      <c r="B69" s="9">
        <f ca="1">+IF(A69=WORLDCUP!$BI$112,1,0)</f>
        <v>0</v>
      </c>
      <c r="C69" s="9" t="str">
        <f ca="1">+WORLDCUP!BD62</f>
        <v>Ivory Coast</v>
      </c>
      <c r="D69" s="9" t="str">
        <f ca="1">+WORLDCUP!BD67</f>
        <v>Algeria</v>
      </c>
      <c r="E69" s="9" t="str">
        <f ca="1">+WORLDCUP!BD59</f>
        <v>Switzerland</v>
      </c>
      <c r="F69" s="9" t="str">
        <f ca="1">+WORLDCUP!BD61</f>
        <v>Australia</v>
      </c>
      <c r="G69" s="9" t="str">
        <f ca="1">+WORLDCUP!BD65</f>
        <v>Saudi Arabia</v>
      </c>
      <c r="H69" s="9" t="str">
        <f ca="1">+WORLDCUP!BD63</f>
        <v>Tunisia</v>
      </c>
      <c r="I69" s="9" t="str">
        <f ca="1">+WORLDCUP!BD69</f>
        <v>Croatia</v>
      </c>
      <c r="J69" s="9" t="str">
        <f ca="1">+WORLDCUP!BD68</f>
        <v>DR Congo</v>
      </c>
      <c r="N69" s="16" t="s">
        <v>860</v>
      </c>
      <c r="O69" s="16">
        <v>68</v>
      </c>
      <c r="P69" s="16" t="s">
        <v>104</v>
      </c>
      <c r="Q69" s="16" t="s">
        <v>127</v>
      </c>
      <c r="R69" s="16" t="s">
        <v>91</v>
      </c>
      <c r="S69" s="16" t="s">
        <v>100</v>
      </c>
      <c r="T69" s="16" t="s">
        <v>118</v>
      </c>
      <c r="U69" s="16" t="s">
        <v>109</v>
      </c>
      <c r="V69" s="16" t="s">
        <v>136</v>
      </c>
      <c r="W69" s="16" t="s">
        <v>131</v>
      </c>
    </row>
    <row r="70" spans="1:23">
      <c r="A70" s="9" t="s">
        <v>861</v>
      </c>
      <c r="B70" s="9">
        <f ca="1">+IF(A70=WORLDCUP!$BI$112,1,0)</f>
        <v>0</v>
      </c>
      <c r="C70" s="9" t="str">
        <f ca="1">+WORLDCUP!BD62</f>
        <v>Ivory Coast</v>
      </c>
      <c r="D70" s="9" t="str">
        <f ca="1">+WORLDCUP!BD66</f>
        <v>Norway</v>
      </c>
      <c r="E70" s="9" t="str">
        <f ca="1">+WORLDCUP!BD59</f>
        <v>Switzerland</v>
      </c>
      <c r="F70" s="9" t="str">
        <f ca="1">+WORLDCUP!BD61</f>
        <v>Australia</v>
      </c>
      <c r="G70" s="9" t="str">
        <f ca="1">+WORLDCUP!BD65</f>
        <v>Saudi Arabia</v>
      </c>
      <c r="H70" s="9" t="str">
        <f ca="1">+WORLDCUP!BD63</f>
        <v>Tunisia</v>
      </c>
      <c r="I70" s="9" t="str">
        <f ca="1">+WORLDCUP!BD69</f>
        <v>Croatia</v>
      </c>
      <c r="J70" s="9" t="str">
        <f ca="1">+WORLDCUP!BD68</f>
        <v>DR Congo</v>
      </c>
      <c r="N70" s="16" t="s">
        <v>861</v>
      </c>
      <c r="O70" s="16">
        <v>69</v>
      </c>
      <c r="P70" s="16" t="s">
        <v>104</v>
      </c>
      <c r="Q70" s="16" t="s">
        <v>122</v>
      </c>
      <c r="R70" s="16" t="s">
        <v>91</v>
      </c>
      <c r="S70" s="16" t="s">
        <v>100</v>
      </c>
      <c r="T70" s="16" t="s">
        <v>118</v>
      </c>
      <c r="U70" s="16" t="s">
        <v>109</v>
      </c>
      <c r="V70" s="16" t="s">
        <v>136</v>
      </c>
      <c r="W70" s="16" t="s">
        <v>131</v>
      </c>
    </row>
    <row r="71" spans="1:23">
      <c r="A71" s="9" t="s">
        <v>862</v>
      </c>
      <c r="B71" s="9">
        <f ca="1">+IF(A71=WORLDCUP!$BI$112,1,0)</f>
        <v>0</v>
      </c>
      <c r="C71" s="9" t="str">
        <f ca="1">+WORLDCUP!BD62</f>
        <v>Ivory Coast</v>
      </c>
      <c r="D71" s="9" t="str">
        <f ca="1">+WORLDCUP!BD67</f>
        <v>Algeria</v>
      </c>
      <c r="E71" s="9" t="str">
        <f ca="1">+WORLDCUP!BD59</f>
        <v>Switzerland</v>
      </c>
      <c r="F71" s="9" t="str">
        <f ca="1">+WORLDCUP!BD61</f>
        <v>Australia</v>
      </c>
      <c r="G71" s="9" t="str">
        <f ca="1">+WORLDCUP!BD65</f>
        <v>Saudi Arabia</v>
      </c>
      <c r="H71" s="9" t="str">
        <f ca="1">+WORLDCUP!BD63</f>
        <v>Tunisia</v>
      </c>
      <c r="I71" s="9" t="str">
        <f ca="1">+WORLDCUP!BD69</f>
        <v>Croatia</v>
      </c>
      <c r="J71" s="9" t="str">
        <f ca="1">+WORLDCUP!BD66</f>
        <v>Norway</v>
      </c>
      <c r="N71" s="16" t="s">
        <v>862</v>
      </c>
      <c r="O71" s="16">
        <v>70</v>
      </c>
      <c r="P71" s="16" t="s">
        <v>104</v>
      </c>
      <c r="Q71" s="16" t="s">
        <v>127</v>
      </c>
      <c r="R71" s="16" t="s">
        <v>91</v>
      </c>
      <c r="S71" s="16" t="s">
        <v>100</v>
      </c>
      <c r="T71" s="16" t="s">
        <v>118</v>
      </c>
      <c r="U71" s="16" t="s">
        <v>109</v>
      </c>
      <c r="V71" s="16" t="s">
        <v>136</v>
      </c>
      <c r="W71" s="16" t="s">
        <v>122</v>
      </c>
    </row>
    <row r="72" spans="1:23">
      <c r="A72" s="9" t="s">
        <v>863</v>
      </c>
      <c r="B72" s="9">
        <f ca="1">+IF(A72=WORLDCUP!$BI$112,1,0)</f>
        <v>0</v>
      </c>
      <c r="C72" s="9" t="str">
        <f ca="1">+WORLDCUP!BD62</f>
        <v>Ivory Coast</v>
      </c>
      <c r="D72" s="9" t="str">
        <f ca="1">+WORLDCUP!BD67</f>
        <v>Algeria</v>
      </c>
      <c r="E72" s="9" t="str">
        <f ca="1">+WORLDCUP!BD59</f>
        <v>Switzerland</v>
      </c>
      <c r="F72" s="9" t="str">
        <f ca="1">+WORLDCUP!BD61</f>
        <v>Australia</v>
      </c>
      <c r="G72" s="9" t="str">
        <f ca="1">+WORLDCUP!BD65</f>
        <v>Saudi Arabia</v>
      </c>
      <c r="H72" s="9" t="str">
        <f ca="1">+WORLDCUP!BD63</f>
        <v>Tunisia</v>
      </c>
      <c r="I72" s="9" t="str">
        <f ca="1">+WORLDCUP!BD66</f>
        <v>Norway</v>
      </c>
      <c r="J72" s="9" t="str">
        <f ca="1">+WORLDCUP!BD68</f>
        <v>DR Congo</v>
      </c>
      <c r="N72" s="16" t="s">
        <v>863</v>
      </c>
      <c r="O72" s="16">
        <v>71</v>
      </c>
      <c r="P72" s="16" t="s">
        <v>104</v>
      </c>
      <c r="Q72" s="16" t="s">
        <v>127</v>
      </c>
      <c r="R72" s="16" t="s">
        <v>91</v>
      </c>
      <c r="S72" s="16" t="s">
        <v>100</v>
      </c>
      <c r="T72" s="16" t="s">
        <v>118</v>
      </c>
      <c r="U72" s="16" t="s">
        <v>109</v>
      </c>
      <c r="V72" s="16" t="s">
        <v>122</v>
      </c>
      <c r="W72" s="16" t="s">
        <v>131</v>
      </c>
    </row>
    <row r="73" spans="1:23">
      <c r="A73" s="9" t="s">
        <v>864</v>
      </c>
      <c r="B73" s="9">
        <f ca="1">+IF(A73=WORLDCUP!$BI$112,1,0)</f>
        <v>0</v>
      </c>
      <c r="C73" s="9" t="str">
        <f ca="1">+WORLDCUP!BD62</f>
        <v>Ivory Coast</v>
      </c>
      <c r="D73" s="9" t="str">
        <f ca="1">+WORLDCUP!BD64</f>
        <v>Egypt</v>
      </c>
      <c r="E73" s="9" t="str">
        <f ca="1">+WORLDCUP!BD59</f>
        <v>Switzerland</v>
      </c>
      <c r="F73" s="9" t="str">
        <f ca="1">+WORLDCUP!BD61</f>
        <v>Australia</v>
      </c>
      <c r="G73" s="9" t="str">
        <f ca="1">+WORLDCUP!BD67</f>
        <v>Algeria</v>
      </c>
      <c r="H73" s="9" t="str">
        <f ca="1">+WORLDCUP!BD63</f>
        <v>Tunisia</v>
      </c>
      <c r="I73" s="9" t="str">
        <f ca="1">+WORLDCUP!BD69</f>
        <v>Croatia</v>
      </c>
      <c r="J73" s="9" t="str">
        <f ca="1">+WORLDCUP!BD68</f>
        <v>DR Congo</v>
      </c>
      <c r="N73" s="16" t="s">
        <v>864</v>
      </c>
      <c r="O73" s="16">
        <v>72</v>
      </c>
      <c r="P73" s="16" t="s">
        <v>104</v>
      </c>
      <c r="Q73" s="16" t="s">
        <v>113</v>
      </c>
      <c r="R73" s="16" t="s">
        <v>91</v>
      </c>
      <c r="S73" s="16" t="s">
        <v>100</v>
      </c>
      <c r="T73" s="16" t="s">
        <v>127</v>
      </c>
      <c r="U73" s="16" t="s">
        <v>109</v>
      </c>
      <c r="V73" s="16" t="s">
        <v>136</v>
      </c>
      <c r="W73" s="16" t="s">
        <v>131</v>
      </c>
    </row>
    <row r="74" spans="1:23">
      <c r="A74" s="9" t="s">
        <v>865</v>
      </c>
      <c r="B74" s="9">
        <f ca="1">+IF(A74=WORLDCUP!$BI$112,1,0)</f>
        <v>0</v>
      </c>
      <c r="C74" s="9" t="str">
        <f ca="1">+WORLDCUP!BD62</f>
        <v>Ivory Coast</v>
      </c>
      <c r="D74" s="9" t="str">
        <f ca="1">+WORLDCUP!BD64</f>
        <v>Egypt</v>
      </c>
      <c r="E74" s="9" t="str">
        <f ca="1">+WORLDCUP!BD59</f>
        <v>Switzerland</v>
      </c>
      <c r="F74" s="9" t="str">
        <f ca="1">+WORLDCUP!BD61</f>
        <v>Australia</v>
      </c>
      <c r="G74" s="9" t="str">
        <f ca="1">+WORLDCUP!BD66</f>
        <v>Norway</v>
      </c>
      <c r="H74" s="9" t="str">
        <f ca="1">+WORLDCUP!BD63</f>
        <v>Tunisia</v>
      </c>
      <c r="I74" s="9" t="str">
        <f ca="1">+WORLDCUP!BD69</f>
        <v>Croatia</v>
      </c>
      <c r="J74" s="9" t="str">
        <f ca="1">+WORLDCUP!BD68</f>
        <v>DR Congo</v>
      </c>
      <c r="N74" s="16" t="s">
        <v>865</v>
      </c>
      <c r="O74" s="16">
        <v>73</v>
      </c>
      <c r="P74" s="16" t="s">
        <v>104</v>
      </c>
      <c r="Q74" s="16" t="s">
        <v>113</v>
      </c>
      <c r="R74" s="16" t="s">
        <v>91</v>
      </c>
      <c r="S74" s="16" t="s">
        <v>100</v>
      </c>
      <c r="T74" s="16" t="s">
        <v>122</v>
      </c>
      <c r="U74" s="16" t="s">
        <v>109</v>
      </c>
      <c r="V74" s="16" t="s">
        <v>136</v>
      </c>
      <c r="W74" s="16" t="s">
        <v>131</v>
      </c>
    </row>
    <row r="75" spans="1:23">
      <c r="A75" s="9" t="s">
        <v>866</v>
      </c>
      <c r="B75" s="9">
        <f ca="1">+IF(A75=WORLDCUP!$BI$112,1,0)</f>
        <v>0</v>
      </c>
      <c r="C75" s="9" t="str">
        <f ca="1">+WORLDCUP!BD62</f>
        <v>Ivory Coast</v>
      </c>
      <c r="D75" s="9" t="str">
        <f ca="1">+WORLDCUP!BD64</f>
        <v>Egypt</v>
      </c>
      <c r="E75" s="9" t="str">
        <f ca="1">+WORLDCUP!BD59</f>
        <v>Switzerland</v>
      </c>
      <c r="F75" s="9" t="str">
        <f ca="1">+WORLDCUP!BD61</f>
        <v>Australia</v>
      </c>
      <c r="G75" s="9" t="str">
        <f ca="1">+WORLDCUP!BD67</f>
        <v>Algeria</v>
      </c>
      <c r="H75" s="9" t="str">
        <f ca="1">+WORLDCUP!BD63</f>
        <v>Tunisia</v>
      </c>
      <c r="I75" s="9" t="str">
        <f ca="1">+WORLDCUP!BD69</f>
        <v>Croatia</v>
      </c>
      <c r="J75" s="9" t="str">
        <f ca="1">+WORLDCUP!BD66</f>
        <v>Norway</v>
      </c>
      <c r="N75" s="16" t="s">
        <v>866</v>
      </c>
      <c r="O75" s="16">
        <v>74</v>
      </c>
      <c r="P75" s="16" t="s">
        <v>104</v>
      </c>
      <c r="Q75" s="16" t="s">
        <v>113</v>
      </c>
      <c r="R75" s="16" t="s">
        <v>91</v>
      </c>
      <c r="S75" s="16" t="s">
        <v>100</v>
      </c>
      <c r="T75" s="16" t="s">
        <v>127</v>
      </c>
      <c r="U75" s="16" t="s">
        <v>109</v>
      </c>
      <c r="V75" s="16" t="s">
        <v>136</v>
      </c>
      <c r="W75" s="16" t="s">
        <v>122</v>
      </c>
    </row>
    <row r="76" spans="1:23">
      <c r="A76" s="9" t="s">
        <v>867</v>
      </c>
      <c r="B76" s="9">
        <f ca="1">+IF(A76=WORLDCUP!$BI$112,1,0)</f>
        <v>0</v>
      </c>
      <c r="C76" s="9" t="str">
        <f ca="1">+WORLDCUP!BD62</f>
        <v>Ivory Coast</v>
      </c>
      <c r="D76" s="9" t="str">
        <f ca="1">+WORLDCUP!BD64</f>
        <v>Egypt</v>
      </c>
      <c r="E76" s="9" t="str">
        <f ca="1">+WORLDCUP!BD59</f>
        <v>Switzerland</v>
      </c>
      <c r="F76" s="9" t="str">
        <f ca="1">+WORLDCUP!BD61</f>
        <v>Australia</v>
      </c>
      <c r="G76" s="9" t="str">
        <f ca="1">+WORLDCUP!BD67</f>
        <v>Algeria</v>
      </c>
      <c r="H76" s="9" t="str">
        <f ca="1">+WORLDCUP!BD63</f>
        <v>Tunisia</v>
      </c>
      <c r="I76" s="9" t="str">
        <f ca="1">+WORLDCUP!BD66</f>
        <v>Norway</v>
      </c>
      <c r="J76" s="9" t="str">
        <f ca="1">+WORLDCUP!BD68</f>
        <v>DR Congo</v>
      </c>
      <c r="N76" s="16" t="s">
        <v>867</v>
      </c>
      <c r="O76" s="16">
        <v>75</v>
      </c>
      <c r="P76" s="16" t="s">
        <v>104</v>
      </c>
      <c r="Q76" s="16" t="s">
        <v>113</v>
      </c>
      <c r="R76" s="16" t="s">
        <v>91</v>
      </c>
      <c r="S76" s="16" t="s">
        <v>100</v>
      </c>
      <c r="T76" s="16" t="s">
        <v>127</v>
      </c>
      <c r="U76" s="16" t="s">
        <v>109</v>
      </c>
      <c r="V76" s="16" t="s">
        <v>122</v>
      </c>
      <c r="W76" s="16" t="s">
        <v>131</v>
      </c>
    </row>
    <row r="77" spans="1:23">
      <c r="A77" s="9" t="s">
        <v>868</v>
      </c>
      <c r="B77" s="9">
        <f ca="1">+IF(A77=WORLDCUP!$BI$112,1,0)</f>
        <v>0</v>
      </c>
      <c r="C77" s="9" t="str">
        <f ca="1">+WORLDCUP!BD62</f>
        <v>Ivory Coast</v>
      </c>
      <c r="D77" s="9" t="str">
        <f ca="1">+WORLDCUP!BD64</f>
        <v>Egypt</v>
      </c>
      <c r="E77" s="9" t="str">
        <f ca="1">+WORLDCUP!BD59</f>
        <v>Switzerland</v>
      </c>
      <c r="F77" s="9" t="str">
        <f ca="1">+WORLDCUP!BD61</f>
        <v>Australia</v>
      </c>
      <c r="G77" s="9" t="str">
        <f ca="1">+WORLDCUP!BD65</f>
        <v>Saudi Arabia</v>
      </c>
      <c r="H77" s="9" t="str">
        <f ca="1">+WORLDCUP!BD63</f>
        <v>Tunisia</v>
      </c>
      <c r="I77" s="9" t="str">
        <f ca="1">+WORLDCUP!BD69</f>
        <v>Croatia</v>
      </c>
      <c r="J77" s="9" t="str">
        <f ca="1">+WORLDCUP!BD68</f>
        <v>DR Congo</v>
      </c>
      <c r="N77" s="16" t="s">
        <v>868</v>
      </c>
      <c r="O77" s="16">
        <v>76</v>
      </c>
      <c r="P77" s="16" t="s">
        <v>104</v>
      </c>
      <c r="Q77" s="16" t="s">
        <v>113</v>
      </c>
      <c r="R77" s="16" t="s">
        <v>91</v>
      </c>
      <c r="S77" s="16" t="s">
        <v>100</v>
      </c>
      <c r="T77" s="16" t="s">
        <v>118</v>
      </c>
      <c r="U77" s="16" t="s">
        <v>109</v>
      </c>
      <c r="V77" s="16" t="s">
        <v>136</v>
      </c>
      <c r="W77" s="16" t="s">
        <v>131</v>
      </c>
    </row>
    <row r="78" spans="1:23">
      <c r="A78" s="9" t="s">
        <v>869</v>
      </c>
      <c r="B78" s="9">
        <f ca="1">+IF(A78=WORLDCUP!$BI$112,1,0)</f>
        <v>0</v>
      </c>
      <c r="C78" s="9" t="str">
        <f ca="1">+WORLDCUP!BD65</f>
        <v>Saudi Arabia</v>
      </c>
      <c r="D78" s="9" t="str">
        <f ca="1">+WORLDCUP!BD64</f>
        <v>Egypt</v>
      </c>
      <c r="E78" s="9" t="str">
        <f ca="1">+WORLDCUP!BD59</f>
        <v>Switzerland</v>
      </c>
      <c r="F78" s="9" t="str">
        <f ca="1">+WORLDCUP!BD61</f>
        <v>Australia</v>
      </c>
      <c r="G78" s="9" t="str">
        <f ca="1">+WORLDCUP!BD67</f>
        <v>Algeria</v>
      </c>
      <c r="H78" s="9" t="str">
        <f ca="1">+WORLDCUP!BD63</f>
        <v>Tunisia</v>
      </c>
      <c r="I78" s="9" t="str">
        <f ca="1">+WORLDCUP!BD69</f>
        <v>Croatia</v>
      </c>
      <c r="J78" s="9" t="str">
        <f ca="1">+WORLDCUP!BD62</f>
        <v>Ivory Coast</v>
      </c>
      <c r="N78" s="16" t="s">
        <v>869</v>
      </c>
      <c r="O78" s="16">
        <v>77</v>
      </c>
      <c r="P78" s="16" t="s">
        <v>118</v>
      </c>
      <c r="Q78" s="16" t="s">
        <v>113</v>
      </c>
      <c r="R78" s="16" t="s">
        <v>91</v>
      </c>
      <c r="S78" s="16" t="s">
        <v>100</v>
      </c>
      <c r="T78" s="16" t="s">
        <v>127</v>
      </c>
      <c r="U78" s="16" t="s">
        <v>109</v>
      </c>
      <c r="V78" s="16" t="s">
        <v>136</v>
      </c>
      <c r="W78" s="16" t="s">
        <v>104</v>
      </c>
    </row>
    <row r="79" spans="1:23">
      <c r="A79" s="9" t="s">
        <v>870</v>
      </c>
      <c r="B79" s="9">
        <f ca="1">+IF(A79=WORLDCUP!$BI$112,1,0)</f>
        <v>0</v>
      </c>
      <c r="C79" s="9" t="str">
        <f ca="1">+WORLDCUP!BD65</f>
        <v>Saudi Arabia</v>
      </c>
      <c r="D79" s="9" t="str">
        <f ca="1">+WORLDCUP!BD64</f>
        <v>Egypt</v>
      </c>
      <c r="E79" s="9" t="str">
        <f ca="1">+WORLDCUP!BD59</f>
        <v>Switzerland</v>
      </c>
      <c r="F79" s="9" t="str">
        <f ca="1">+WORLDCUP!BD61</f>
        <v>Australia</v>
      </c>
      <c r="G79" s="9" t="str">
        <f ca="1">+WORLDCUP!BD67</f>
        <v>Algeria</v>
      </c>
      <c r="H79" s="9" t="str">
        <f ca="1">+WORLDCUP!BD63</f>
        <v>Tunisia</v>
      </c>
      <c r="I79" s="9" t="str">
        <f ca="1">+WORLDCUP!BD62</f>
        <v>Ivory Coast</v>
      </c>
      <c r="J79" s="9" t="str">
        <f ca="1">+WORLDCUP!BD68</f>
        <v>DR Congo</v>
      </c>
      <c r="N79" s="16" t="s">
        <v>870</v>
      </c>
      <c r="O79" s="16">
        <v>78</v>
      </c>
      <c r="P79" s="16" t="s">
        <v>118</v>
      </c>
      <c r="Q79" s="16" t="s">
        <v>113</v>
      </c>
      <c r="R79" s="16" t="s">
        <v>91</v>
      </c>
      <c r="S79" s="16" t="s">
        <v>100</v>
      </c>
      <c r="T79" s="16" t="s">
        <v>127</v>
      </c>
      <c r="U79" s="16" t="s">
        <v>109</v>
      </c>
      <c r="V79" s="16" t="s">
        <v>104</v>
      </c>
      <c r="W79" s="16" t="s">
        <v>131</v>
      </c>
    </row>
    <row r="80" spans="1:23">
      <c r="A80" s="9" t="s">
        <v>871</v>
      </c>
      <c r="B80" s="9">
        <f ca="1">+IF(A80=WORLDCUP!$BI$112,1,0)</f>
        <v>0</v>
      </c>
      <c r="C80" s="9" t="str">
        <f ca="1">+WORLDCUP!BD62</f>
        <v>Ivory Coast</v>
      </c>
      <c r="D80" s="9" t="str">
        <f ca="1">+WORLDCUP!BD64</f>
        <v>Egypt</v>
      </c>
      <c r="E80" s="9" t="str">
        <f ca="1">+WORLDCUP!BD59</f>
        <v>Switzerland</v>
      </c>
      <c r="F80" s="9" t="str">
        <f ca="1">+WORLDCUP!BD61</f>
        <v>Australia</v>
      </c>
      <c r="G80" s="9" t="str">
        <f ca="1">+WORLDCUP!BD65</f>
        <v>Saudi Arabia</v>
      </c>
      <c r="H80" s="9" t="str">
        <f ca="1">+WORLDCUP!BD63</f>
        <v>Tunisia</v>
      </c>
      <c r="I80" s="9" t="str">
        <f ca="1">+WORLDCUP!BD69</f>
        <v>Croatia</v>
      </c>
      <c r="J80" s="9" t="str">
        <f ca="1">+WORLDCUP!BD66</f>
        <v>Norway</v>
      </c>
      <c r="N80" s="16" t="s">
        <v>871</v>
      </c>
      <c r="O80" s="16">
        <v>79</v>
      </c>
      <c r="P80" s="16" t="s">
        <v>104</v>
      </c>
      <c r="Q80" s="16" t="s">
        <v>113</v>
      </c>
      <c r="R80" s="16" t="s">
        <v>91</v>
      </c>
      <c r="S80" s="16" t="s">
        <v>100</v>
      </c>
      <c r="T80" s="16" t="s">
        <v>118</v>
      </c>
      <c r="U80" s="16" t="s">
        <v>109</v>
      </c>
      <c r="V80" s="16" t="s">
        <v>136</v>
      </c>
      <c r="W80" s="16" t="s">
        <v>122</v>
      </c>
    </row>
    <row r="81" spans="1:23">
      <c r="A81" s="9" t="s">
        <v>872</v>
      </c>
      <c r="B81" s="9">
        <f ca="1">+IF(A81=WORLDCUP!$BI$112,1,0)</f>
        <v>0</v>
      </c>
      <c r="C81" s="9" t="str">
        <f ca="1">+WORLDCUP!BD62</f>
        <v>Ivory Coast</v>
      </c>
      <c r="D81" s="9" t="str">
        <f ca="1">+WORLDCUP!BD64</f>
        <v>Egypt</v>
      </c>
      <c r="E81" s="9" t="str">
        <f ca="1">+WORLDCUP!BD59</f>
        <v>Switzerland</v>
      </c>
      <c r="F81" s="9" t="str">
        <f ca="1">+WORLDCUP!BD61</f>
        <v>Australia</v>
      </c>
      <c r="G81" s="9" t="str">
        <f ca="1">+WORLDCUP!BD65</f>
        <v>Saudi Arabia</v>
      </c>
      <c r="H81" s="9" t="str">
        <f ca="1">+WORLDCUP!BD63</f>
        <v>Tunisia</v>
      </c>
      <c r="I81" s="9" t="str">
        <f ca="1">+WORLDCUP!BD66</f>
        <v>Norway</v>
      </c>
      <c r="J81" s="9" t="str">
        <f ca="1">+WORLDCUP!BD68</f>
        <v>DR Congo</v>
      </c>
      <c r="N81" s="16" t="s">
        <v>872</v>
      </c>
      <c r="O81" s="16">
        <v>80</v>
      </c>
      <c r="P81" s="16" t="s">
        <v>104</v>
      </c>
      <c r="Q81" s="16" t="s">
        <v>113</v>
      </c>
      <c r="R81" s="16" t="s">
        <v>91</v>
      </c>
      <c r="S81" s="16" t="s">
        <v>100</v>
      </c>
      <c r="T81" s="16" t="s">
        <v>118</v>
      </c>
      <c r="U81" s="16" t="s">
        <v>109</v>
      </c>
      <c r="V81" s="16" t="s">
        <v>122</v>
      </c>
      <c r="W81" s="16" t="s">
        <v>131</v>
      </c>
    </row>
    <row r="82" spans="1:23">
      <c r="A82" s="9" t="s">
        <v>873</v>
      </c>
      <c r="B82" s="9">
        <f ca="1">+IF(A82=WORLDCUP!$BI$112,1,0)</f>
        <v>0</v>
      </c>
      <c r="C82" s="9" t="str">
        <f ca="1">+WORLDCUP!BD65</f>
        <v>Saudi Arabia</v>
      </c>
      <c r="D82" s="9" t="str">
        <f ca="1">+WORLDCUP!BD64</f>
        <v>Egypt</v>
      </c>
      <c r="E82" s="9" t="str">
        <f ca="1">+WORLDCUP!BD59</f>
        <v>Switzerland</v>
      </c>
      <c r="F82" s="9" t="str">
        <f ca="1">+WORLDCUP!BD61</f>
        <v>Australia</v>
      </c>
      <c r="G82" s="9" t="str">
        <f ca="1">+WORLDCUP!BD67</f>
        <v>Algeria</v>
      </c>
      <c r="H82" s="9" t="str">
        <f ca="1">+WORLDCUP!BD63</f>
        <v>Tunisia</v>
      </c>
      <c r="I82" s="9" t="str">
        <f ca="1">+WORLDCUP!BD62</f>
        <v>Ivory Coast</v>
      </c>
      <c r="J82" s="9" t="str">
        <f ca="1">+WORLDCUP!BD66</f>
        <v>Norway</v>
      </c>
      <c r="N82" s="16" t="s">
        <v>873</v>
      </c>
      <c r="O82" s="16">
        <v>81</v>
      </c>
      <c r="P82" s="16" t="s">
        <v>118</v>
      </c>
      <c r="Q82" s="16" t="s">
        <v>113</v>
      </c>
      <c r="R82" s="16" t="s">
        <v>91</v>
      </c>
      <c r="S82" s="16" t="s">
        <v>100</v>
      </c>
      <c r="T82" s="16" t="s">
        <v>127</v>
      </c>
      <c r="U82" s="16" t="s">
        <v>109</v>
      </c>
      <c r="V82" s="16" t="s">
        <v>104</v>
      </c>
      <c r="W82" s="16" t="s">
        <v>122</v>
      </c>
    </row>
    <row r="83" spans="1:23">
      <c r="A83" s="9" t="s">
        <v>874</v>
      </c>
      <c r="B83" s="9">
        <f ca="1">+IF(A83=WORLDCUP!$BI$112,1,0)</f>
        <v>0</v>
      </c>
      <c r="C83" s="9" t="str">
        <f ca="1">+WORLDCUP!BD65</f>
        <v>Saudi Arabia</v>
      </c>
      <c r="D83" s="9" t="str">
        <f ca="1">+WORLDCUP!BD67</f>
        <v>Algeria</v>
      </c>
      <c r="E83" s="9" t="str">
        <f ca="1">+WORLDCUP!BD59</f>
        <v>Switzerland</v>
      </c>
      <c r="F83" s="9" t="str">
        <f ca="1">+WORLDCUP!BD60</f>
        <v>Scotland</v>
      </c>
      <c r="G83" s="9" t="str">
        <f ca="1">+WORLDCUP!BD66</f>
        <v>Norway</v>
      </c>
      <c r="H83" s="9" t="str">
        <f ca="1">+WORLDCUP!BD64</f>
        <v>Egypt</v>
      </c>
      <c r="I83" s="9" t="str">
        <f ca="1">+WORLDCUP!BD69</f>
        <v>Croatia</v>
      </c>
      <c r="J83" s="9" t="str">
        <f ca="1">+WORLDCUP!BD68</f>
        <v>DR Congo</v>
      </c>
      <c r="N83" s="16" t="s">
        <v>874</v>
      </c>
      <c r="O83" s="16">
        <v>82</v>
      </c>
      <c r="P83" s="16" t="s">
        <v>118</v>
      </c>
      <c r="Q83" s="16" t="s">
        <v>127</v>
      </c>
      <c r="R83" s="16" t="s">
        <v>91</v>
      </c>
      <c r="S83" s="16" t="s">
        <v>95</v>
      </c>
      <c r="T83" s="16" t="s">
        <v>122</v>
      </c>
      <c r="U83" s="16" t="s">
        <v>113</v>
      </c>
      <c r="V83" s="16" t="s">
        <v>136</v>
      </c>
      <c r="W83" s="16" t="s">
        <v>131</v>
      </c>
    </row>
    <row r="84" spans="1:23">
      <c r="A84" s="9" t="s">
        <v>875</v>
      </c>
      <c r="B84" s="9">
        <f ca="1">+IF(A84=WORLDCUP!$BI$112,1,0)</f>
        <v>0</v>
      </c>
      <c r="C84" s="9" t="str">
        <f ca="1">+WORLDCUP!BD65</f>
        <v>Saudi Arabia</v>
      </c>
      <c r="D84" s="9" t="str">
        <f ca="1">+WORLDCUP!BD67</f>
        <v>Algeria</v>
      </c>
      <c r="E84" s="9" t="str">
        <f ca="1">+WORLDCUP!BD59</f>
        <v>Switzerland</v>
      </c>
      <c r="F84" s="9" t="str">
        <f ca="1">+WORLDCUP!BD60</f>
        <v>Scotland</v>
      </c>
      <c r="G84" s="9" t="str">
        <f ca="1">+WORLDCUP!BD66</f>
        <v>Norway</v>
      </c>
      <c r="H84" s="9" t="str">
        <f ca="1">+WORLDCUP!BD63</f>
        <v>Tunisia</v>
      </c>
      <c r="I84" s="9" t="str">
        <f ca="1">+WORLDCUP!BD69</f>
        <v>Croatia</v>
      </c>
      <c r="J84" s="9" t="str">
        <f ca="1">+WORLDCUP!BD68</f>
        <v>DR Congo</v>
      </c>
      <c r="N84" s="16" t="s">
        <v>875</v>
      </c>
      <c r="O84" s="16">
        <v>83</v>
      </c>
      <c r="P84" s="16" t="s">
        <v>118</v>
      </c>
      <c r="Q84" s="16" t="s">
        <v>127</v>
      </c>
      <c r="R84" s="16" t="s">
        <v>91</v>
      </c>
      <c r="S84" s="16" t="s">
        <v>95</v>
      </c>
      <c r="T84" s="16" t="s">
        <v>122</v>
      </c>
      <c r="U84" s="16" t="s">
        <v>109</v>
      </c>
      <c r="V84" s="16" t="s">
        <v>136</v>
      </c>
      <c r="W84" s="16" t="s">
        <v>131</v>
      </c>
    </row>
    <row r="85" spans="1:23">
      <c r="A85" s="9" t="s">
        <v>876</v>
      </c>
      <c r="B85" s="9">
        <f ca="1">+IF(A85=WORLDCUP!$BI$112,1,0)</f>
        <v>0</v>
      </c>
      <c r="C85" s="9" t="str">
        <f ca="1">+WORLDCUP!BD66</f>
        <v>Norway</v>
      </c>
      <c r="D85" s="9" t="str">
        <f ca="1">+WORLDCUP!BD64</f>
        <v>Egypt</v>
      </c>
      <c r="E85" s="9" t="str">
        <f ca="1">+WORLDCUP!BD59</f>
        <v>Switzerland</v>
      </c>
      <c r="F85" s="9" t="str">
        <f ca="1">+WORLDCUP!BD60</f>
        <v>Scotland</v>
      </c>
      <c r="G85" s="9" t="str">
        <f ca="1">+WORLDCUP!BD67</f>
        <v>Algeria</v>
      </c>
      <c r="H85" s="9" t="str">
        <f ca="1">+WORLDCUP!BD63</f>
        <v>Tunisia</v>
      </c>
      <c r="I85" s="9" t="str">
        <f ca="1">+WORLDCUP!BD69</f>
        <v>Croatia</v>
      </c>
      <c r="J85" s="9" t="str">
        <f ca="1">+WORLDCUP!BD68</f>
        <v>DR Congo</v>
      </c>
      <c r="N85" s="16" t="s">
        <v>876</v>
      </c>
      <c r="O85" s="16">
        <v>84</v>
      </c>
      <c r="P85" s="16" t="s">
        <v>122</v>
      </c>
      <c r="Q85" s="16" t="s">
        <v>113</v>
      </c>
      <c r="R85" s="16" t="s">
        <v>91</v>
      </c>
      <c r="S85" s="16" t="s">
        <v>95</v>
      </c>
      <c r="T85" s="16" t="s">
        <v>127</v>
      </c>
      <c r="U85" s="16" t="s">
        <v>109</v>
      </c>
      <c r="V85" s="16" t="s">
        <v>136</v>
      </c>
      <c r="W85" s="16" t="s">
        <v>131</v>
      </c>
    </row>
    <row r="86" spans="1:23">
      <c r="A86" s="9" t="s">
        <v>877</v>
      </c>
      <c r="B86" s="9">
        <f ca="1">+IF(A86=WORLDCUP!$BI$112,1,0)</f>
        <v>0</v>
      </c>
      <c r="C86" s="9" t="str">
        <f ca="1">+WORLDCUP!BD65</f>
        <v>Saudi Arabia</v>
      </c>
      <c r="D86" s="9" t="str">
        <f ca="1">+WORLDCUP!BD64</f>
        <v>Egypt</v>
      </c>
      <c r="E86" s="9" t="str">
        <f ca="1">+WORLDCUP!BD59</f>
        <v>Switzerland</v>
      </c>
      <c r="F86" s="9" t="str">
        <f ca="1">+WORLDCUP!BD60</f>
        <v>Scotland</v>
      </c>
      <c r="G86" s="9" t="str">
        <f ca="1">+WORLDCUP!BD67</f>
        <v>Algeria</v>
      </c>
      <c r="H86" s="9" t="str">
        <f ca="1">+WORLDCUP!BD63</f>
        <v>Tunisia</v>
      </c>
      <c r="I86" s="9" t="str">
        <f ca="1">+WORLDCUP!BD69</f>
        <v>Croatia</v>
      </c>
      <c r="J86" s="9" t="str">
        <f ca="1">+WORLDCUP!BD68</f>
        <v>DR Congo</v>
      </c>
      <c r="N86" s="16" t="s">
        <v>877</v>
      </c>
      <c r="O86" s="16">
        <v>85</v>
      </c>
      <c r="P86" s="16" t="s">
        <v>118</v>
      </c>
      <c r="Q86" s="16" t="s">
        <v>113</v>
      </c>
      <c r="R86" s="16" t="s">
        <v>91</v>
      </c>
      <c r="S86" s="16" t="s">
        <v>95</v>
      </c>
      <c r="T86" s="16" t="s">
        <v>127</v>
      </c>
      <c r="U86" s="16" t="s">
        <v>109</v>
      </c>
      <c r="V86" s="16" t="s">
        <v>136</v>
      </c>
      <c r="W86" s="16" t="s">
        <v>131</v>
      </c>
    </row>
    <row r="87" spans="1:23">
      <c r="A87" s="9" t="s">
        <v>878</v>
      </c>
      <c r="B87" s="9">
        <f ca="1">+IF(A87=WORLDCUP!$BI$112,1,0)</f>
        <v>0</v>
      </c>
      <c r="C87" s="9" t="str">
        <f ca="1">+WORLDCUP!BD65</f>
        <v>Saudi Arabia</v>
      </c>
      <c r="D87" s="9" t="str">
        <f ca="1">+WORLDCUP!BD64</f>
        <v>Egypt</v>
      </c>
      <c r="E87" s="9" t="str">
        <f ca="1">+WORLDCUP!BD59</f>
        <v>Switzerland</v>
      </c>
      <c r="F87" s="9" t="str">
        <f ca="1">+WORLDCUP!BD60</f>
        <v>Scotland</v>
      </c>
      <c r="G87" s="9" t="str">
        <f ca="1">+WORLDCUP!BD66</f>
        <v>Norway</v>
      </c>
      <c r="H87" s="9" t="str">
        <f ca="1">+WORLDCUP!BD63</f>
        <v>Tunisia</v>
      </c>
      <c r="I87" s="9" t="str">
        <f ca="1">+WORLDCUP!BD69</f>
        <v>Croatia</v>
      </c>
      <c r="J87" s="9" t="str">
        <f ca="1">+WORLDCUP!BD68</f>
        <v>DR Congo</v>
      </c>
      <c r="N87" s="16" t="s">
        <v>878</v>
      </c>
      <c r="O87" s="16">
        <v>86</v>
      </c>
      <c r="P87" s="16" t="s">
        <v>118</v>
      </c>
      <c r="Q87" s="16" t="s">
        <v>113</v>
      </c>
      <c r="R87" s="16" t="s">
        <v>91</v>
      </c>
      <c r="S87" s="16" t="s">
        <v>95</v>
      </c>
      <c r="T87" s="16" t="s">
        <v>122</v>
      </c>
      <c r="U87" s="16" t="s">
        <v>109</v>
      </c>
      <c r="V87" s="16" t="s">
        <v>136</v>
      </c>
      <c r="W87" s="16" t="s">
        <v>131</v>
      </c>
    </row>
    <row r="88" spans="1:23">
      <c r="A88" s="9" t="s">
        <v>879</v>
      </c>
      <c r="B88" s="9">
        <f ca="1">+IF(A88=WORLDCUP!$BI$112,1,0)</f>
        <v>0</v>
      </c>
      <c r="C88" s="9" t="str">
        <f ca="1">+WORLDCUP!BD65</f>
        <v>Saudi Arabia</v>
      </c>
      <c r="D88" s="9" t="str">
        <f ca="1">+WORLDCUP!BD64</f>
        <v>Egypt</v>
      </c>
      <c r="E88" s="9" t="str">
        <f ca="1">+WORLDCUP!BD59</f>
        <v>Switzerland</v>
      </c>
      <c r="F88" s="9" t="str">
        <f ca="1">+WORLDCUP!BD60</f>
        <v>Scotland</v>
      </c>
      <c r="G88" s="9" t="str">
        <f ca="1">+WORLDCUP!BD67</f>
        <v>Algeria</v>
      </c>
      <c r="H88" s="9" t="str">
        <f ca="1">+WORLDCUP!BD63</f>
        <v>Tunisia</v>
      </c>
      <c r="I88" s="9" t="str">
        <f ca="1">+WORLDCUP!BD69</f>
        <v>Croatia</v>
      </c>
      <c r="J88" s="9" t="str">
        <f ca="1">+WORLDCUP!BD66</f>
        <v>Norway</v>
      </c>
      <c r="N88" s="16" t="s">
        <v>879</v>
      </c>
      <c r="O88" s="16">
        <v>87</v>
      </c>
      <c r="P88" s="16" t="s">
        <v>118</v>
      </c>
      <c r="Q88" s="16" t="s">
        <v>113</v>
      </c>
      <c r="R88" s="16" t="s">
        <v>91</v>
      </c>
      <c r="S88" s="16" t="s">
        <v>95</v>
      </c>
      <c r="T88" s="16" t="s">
        <v>127</v>
      </c>
      <c r="U88" s="16" t="s">
        <v>109</v>
      </c>
      <c r="V88" s="16" t="s">
        <v>136</v>
      </c>
      <c r="W88" s="16" t="s">
        <v>122</v>
      </c>
    </row>
    <row r="89" spans="1:23">
      <c r="A89" s="9" t="s">
        <v>880</v>
      </c>
      <c r="B89" s="9">
        <f ca="1">+IF(A89=WORLDCUP!$BI$112,1,0)</f>
        <v>0</v>
      </c>
      <c r="C89" s="9" t="str">
        <f ca="1">+WORLDCUP!BD65</f>
        <v>Saudi Arabia</v>
      </c>
      <c r="D89" s="9" t="str">
        <f ca="1">+WORLDCUP!BD64</f>
        <v>Egypt</v>
      </c>
      <c r="E89" s="9" t="str">
        <f ca="1">+WORLDCUP!BD59</f>
        <v>Switzerland</v>
      </c>
      <c r="F89" s="9" t="str">
        <f ca="1">+WORLDCUP!BD60</f>
        <v>Scotland</v>
      </c>
      <c r="G89" s="9" t="str">
        <f ca="1">+WORLDCUP!BD67</f>
        <v>Algeria</v>
      </c>
      <c r="H89" s="9" t="str">
        <f ca="1">+WORLDCUP!BD63</f>
        <v>Tunisia</v>
      </c>
      <c r="I89" s="9" t="str">
        <f ca="1">+WORLDCUP!BD66</f>
        <v>Norway</v>
      </c>
      <c r="J89" s="9" t="str">
        <f ca="1">+WORLDCUP!BD68</f>
        <v>DR Congo</v>
      </c>
      <c r="N89" s="16" t="s">
        <v>880</v>
      </c>
      <c r="O89" s="16">
        <v>88</v>
      </c>
      <c r="P89" s="16" t="s">
        <v>118</v>
      </c>
      <c r="Q89" s="16" t="s">
        <v>113</v>
      </c>
      <c r="R89" s="16" t="s">
        <v>91</v>
      </c>
      <c r="S89" s="16" t="s">
        <v>95</v>
      </c>
      <c r="T89" s="16" t="s">
        <v>127</v>
      </c>
      <c r="U89" s="16" t="s">
        <v>109</v>
      </c>
      <c r="V89" s="16" t="s">
        <v>122</v>
      </c>
      <c r="W89" s="16" t="s">
        <v>131</v>
      </c>
    </row>
    <row r="90" spans="1:23">
      <c r="A90" s="9" t="s">
        <v>881</v>
      </c>
      <c r="B90" s="9">
        <f ca="1">+IF(A90=WORLDCUP!$BI$112,1,0)</f>
        <v>0</v>
      </c>
      <c r="C90" s="9" t="str">
        <f ca="1">+WORLDCUP!BD62</f>
        <v>Ivory Coast</v>
      </c>
      <c r="D90" s="9" t="str">
        <f ca="1">+WORLDCUP!BD67</f>
        <v>Algeria</v>
      </c>
      <c r="E90" s="9" t="str">
        <f ca="1">+WORLDCUP!BD59</f>
        <v>Switzerland</v>
      </c>
      <c r="F90" s="9" t="str">
        <f ca="1">+WORLDCUP!BD60</f>
        <v>Scotland</v>
      </c>
      <c r="G90" s="9" t="str">
        <f ca="1">+WORLDCUP!BD66</f>
        <v>Norway</v>
      </c>
      <c r="H90" s="9" t="str">
        <f ca="1">+WORLDCUP!BD65</f>
        <v>Saudi Arabia</v>
      </c>
      <c r="I90" s="9" t="str">
        <f ca="1">+WORLDCUP!BD69</f>
        <v>Croatia</v>
      </c>
      <c r="J90" s="9" t="str">
        <f ca="1">+WORLDCUP!BD68</f>
        <v>DR Congo</v>
      </c>
      <c r="N90" s="16" t="s">
        <v>881</v>
      </c>
      <c r="O90" s="16">
        <v>89</v>
      </c>
      <c r="P90" s="16" t="s">
        <v>104</v>
      </c>
      <c r="Q90" s="16" t="s">
        <v>127</v>
      </c>
      <c r="R90" s="16" t="s">
        <v>91</v>
      </c>
      <c r="S90" s="16" t="s">
        <v>95</v>
      </c>
      <c r="T90" s="16" t="s">
        <v>122</v>
      </c>
      <c r="U90" s="16" t="s">
        <v>118</v>
      </c>
      <c r="V90" s="16" t="s">
        <v>136</v>
      </c>
      <c r="W90" s="16" t="s">
        <v>131</v>
      </c>
    </row>
    <row r="91" spans="1:23">
      <c r="A91" s="9" t="s">
        <v>882</v>
      </c>
      <c r="B91" s="9">
        <f ca="1">+IF(A91=WORLDCUP!$BI$112,1,0)</f>
        <v>0</v>
      </c>
      <c r="C91" s="9" t="str">
        <f ca="1">+WORLDCUP!BD62</f>
        <v>Ivory Coast</v>
      </c>
      <c r="D91" s="9" t="str">
        <f ca="1">+WORLDCUP!BD67</f>
        <v>Algeria</v>
      </c>
      <c r="E91" s="9" t="str">
        <f ca="1">+WORLDCUP!BD59</f>
        <v>Switzerland</v>
      </c>
      <c r="F91" s="9" t="str">
        <f ca="1">+WORLDCUP!BD60</f>
        <v>Scotland</v>
      </c>
      <c r="G91" s="9" t="str">
        <f ca="1">+WORLDCUP!BD66</f>
        <v>Norway</v>
      </c>
      <c r="H91" s="9" t="str">
        <f ca="1">+WORLDCUP!BD64</f>
        <v>Egypt</v>
      </c>
      <c r="I91" s="9" t="str">
        <f ca="1">+WORLDCUP!BD69</f>
        <v>Croatia</v>
      </c>
      <c r="J91" s="9" t="str">
        <f ca="1">+WORLDCUP!BD68</f>
        <v>DR Congo</v>
      </c>
      <c r="N91" s="16" t="s">
        <v>882</v>
      </c>
      <c r="O91" s="16">
        <v>90</v>
      </c>
      <c r="P91" s="16" t="s">
        <v>104</v>
      </c>
      <c r="Q91" s="16" t="s">
        <v>127</v>
      </c>
      <c r="R91" s="16" t="s">
        <v>91</v>
      </c>
      <c r="S91" s="16" t="s">
        <v>95</v>
      </c>
      <c r="T91" s="16" t="s">
        <v>122</v>
      </c>
      <c r="U91" s="16" t="s">
        <v>113</v>
      </c>
      <c r="V91" s="16" t="s">
        <v>136</v>
      </c>
      <c r="W91" s="16" t="s">
        <v>131</v>
      </c>
    </row>
    <row r="92" spans="1:23">
      <c r="A92" s="9" t="s">
        <v>883</v>
      </c>
      <c r="B92" s="9">
        <f ca="1">+IF(A92=WORLDCUP!$BI$112,1,0)</f>
        <v>0</v>
      </c>
      <c r="C92" s="9" t="str">
        <f ca="1">+WORLDCUP!BD62</f>
        <v>Ivory Coast</v>
      </c>
      <c r="D92" s="9" t="str">
        <f ca="1">+WORLDCUP!BD67</f>
        <v>Algeria</v>
      </c>
      <c r="E92" s="9" t="str">
        <f ca="1">+WORLDCUP!BD59</f>
        <v>Switzerland</v>
      </c>
      <c r="F92" s="9" t="str">
        <f ca="1">+WORLDCUP!BD60</f>
        <v>Scotland</v>
      </c>
      <c r="G92" s="9" t="str">
        <f ca="1">+WORLDCUP!BD65</f>
        <v>Saudi Arabia</v>
      </c>
      <c r="H92" s="9" t="str">
        <f ca="1">+WORLDCUP!BD64</f>
        <v>Egypt</v>
      </c>
      <c r="I92" s="9" t="str">
        <f ca="1">+WORLDCUP!BD69</f>
        <v>Croatia</v>
      </c>
      <c r="J92" s="9" t="str">
        <f ca="1">+WORLDCUP!BD68</f>
        <v>DR Congo</v>
      </c>
      <c r="N92" s="16" t="s">
        <v>883</v>
      </c>
      <c r="O92" s="16">
        <v>91</v>
      </c>
      <c r="P92" s="16" t="s">
        <v>104</v>
      </c>
      <c r="Q92" s="16" t="s">
        <v>127</v>
      </c>
      <c r="R92" s="16" t="s">
        <v>91</v>
      </c>
      <c r="S92" s="16" t="s">
        <v>95</v>
      </c>
      <c r="T92" s="16" t="s">
        <v>118</v>
      </c>
      <c r="U92" s="16" t="s">
        <v>113</v>
      </c>
      <c r="V92" s="16" t="s">
        <v>136</v>
      </c>
      <c r="W92" s="16" t="s">
        <v>131</v>
      </c>
    </row>
    <row r="93" spans="1:23">
      <c r="A93" s="9" t="s">
        <v>884</v>
      </c>
      <c r="B93" s="9">
        <f ca="1">+IF(A93=WORLDCUP!$BI$112,1,0)</f>
        <v>0</v>
      </c>
      <c r="C93" s="9" t="str">
        <f ca="1">+WORLDCUP!BD62</f>
        <v>Ivory Coast</v>
      </c>
      <c r="D93" s="9" t="str">
        <f ca="1">+WORLDCUP!BD64</f>
        <v>Egypt</v>
      </c>
      <c r="E93" s="9" t="str">
        <f ca="1">+WORLDCUP!BD59</f>
        <v>Switzerland</v>
      </c>
      <c r="F93" s="9" t="str">
        <f ca="1">+WORLDCUP!BD60</f>
        <v>Scotland</v>
      </c>
      <c r="G93" s="9" t="str">
        <f ca="1">+WORLDCUP!BD66</f>
        <v>Norway</v>
      </c>
      <c r="H93" s="9" t="str">
        <f ca="1">+WORLDCUP!BD65</f>
        <v>Saudi Arabia</v>
      </c>
      <c r="I93" s="9" t="str">
        <f ca="1">+WORLDCUP!BD69</f>
        <v>Croatia</v>
      </c>
      <c r="J93" s="9" t="str">
        <f ca="1">+WORLDCUP!BD68</f>
        <v>DR Congo</v>
      </c>
      <c r="N93" s="16" t="s">
        <v>884</v>
      </c>
      <c r="O93" s="16">
        <v>92</v>
      </c>
      <c r="P93" s="16" t="s">
        <v>104</v>
      </c>
      <c r="Q93" s="16" t="s">
        <v>113</v>
      </c>
      <c r="R93" s="16" t="s">
        <v>91</v>
      </c>
      <c r="S93" s="16" t="s">
        <v>95</v>
      </c>
      <c r="T93" s="16" t="s">
        <v>122</v>
      </c>
      <c r="U93" s="16" t="s">
        <v>118</v>
      </c>
      <c r="V93" s="16" t="s">
        <v>136</v>
      </c>
      <c r="W93" s="16" t="s">
        <v>131</v>
      </c>
    </row>
    <row r="94" spans="1:23">
      <c r="A94" s="9" t="s">
        <v>885</v>
      </c>
      <c r="B94" s="9">
        <f ca="1">+IF(A94=WORLDCUP!$BI$112,1,0)</f>
        <v>0</v>
      </c>
      <c r="C94" s="9" t="str">
        <f ca="1">+WORLDCUP!BD62</f>
        <v>Ivory Coast</v>
      </c>
      <c r="D94" s="9" t="str">
        <f ca="1">+WORLDCUP!BD67</f>
        <v>Algeria</v>
      </c>
      <c r="E94" s="9" t="str">
        <f ca="1">+WORLDCUP!BD59</f>
        <v>Switzerland</v>
      </c>
      <c r="F94" s="9" t="str">
        <f ca="1">+WORLDCUP!BD60</f>
        <v>Scotland</v>
      </c>
      <c r="G94" s="9" t="str">
        <f ca="1">+WORLDCUP!BD65</f>
        <v>Saudi Arabia</v>
      </c>
      <c r="H94" s="9" t="str">
        <f ca="1">+WORLDCUP!BD64</f>
        <v>Egypt</v>
      </c>
      <c r="I94" s="9" t="str">
        <f ca="1">+WORLDCUP!BD69</f>
        <v>Croatia</v>
      </c>
      <c r="J94" s="9" t="str">
        <f ca="1">+WORLDCUP!BD66</f>
        <v>Norway</v>
      </c>
      <c r="N94" s="16" t="s">
        <v>885</v>
      </c>
      <c r="O94" s="16">
        <v>93</v>
      </c>
      <c r="P94" s="16" t="s">
        <v>104</v>
      </c>
      <c r="Q94" s="16" t="s">
        <v>127</v>
      </c>
      <c r="R94" s="16" t="s">
        <v>91</v>
      </c>
      <c r="S94" s="16" t="s">
        <v>95</v>
      </c>
      <c r="T94" s="16" t="s">
        <v>118</v>
      </c>
      <c r="U94" s="16" t="s">
        <v>113</v>
      </c>
      <c r="V94" s="16" t="s">
        <v>136</v>
      </c>
      <c r="W94" s="16" t="s">
        <v>122</v>
      </c>
    </row>
    <row r="95" spans="1:23">
      <c r="A95" s="9" t="s">
        <v>886</v>
      </c>
      <c r="B95" s="9">
        <f ca="1">+IF(A95=WORLDCUP!$BI$112,1,0)</f>
        <v>0</v>
      </c>
      <c r="C95" s="9" t="str">
        <f ca="1">+WORLDCUP!BD62</f>
        <v>Ivory Coast</v>
      </c>
      <c r="D95" s="9" t="str">
        <f ca="1">+WORLDCUP!BD67</f>
        <v>Algeria</v>
      </c>
      <c r="E95" s="9" t="str">
        <f ca="1">+WORLDCUP!BD59</f>
        <v>Switzerland</v>
      </c>
      <c r="F95" s="9" t="str">
        <f ca="1">+WORLDCUP!BD60</f>
        <v>Scotland</v>
      </c>
      <c r="G95" s="9" t="str">
        <f ca="1">+WORLDCUP!BD65</f>
        <v>Saudi Arabia</v>
      </c>
      <c r="H95" s="9" t="str">
        <f ca="1">+WORLDCUP!BD64</f>
        <v>Egypt</v>
      </c>
      <c r="I95" s="9" t="str">
        <f ca="1">+WORLDCUP!BD66</f>
        <v>Norway</v>
      </c>
      <c r="J95" s="9" t="str">
        <f ca="1">+WORLDCUP!BD68</f>
        <v>DR Congo</v>
      </c>
      <c r="N95" s="16" t="s">
        <v>886</v>
      </c>
      <c r="O95" s="16">
        <v>94</v>
      </c>
      <c r="P95" s="16" t="s">
        <v>104</v>
      </c>
      <c r="Q95" s="16" t="s">
        <v>127</v>
      </c>
      <c r="R95" s="16" t="s">
        <v>91</v>
      </c>
      <c r="S95" s="16" t="s">
        <v>95</v>
      </c>
      <c r="T95" s="16" t="s">
        <v>118</v>
      </c>
      <c r="U95" s="16" t="s">
        <v>113</v>
      </c>
      <c r="V95" s="16" t="s">
        <v>122</v>
      </c>
      <c r="W95" s="16" t="s">
        <v>131</v>
      </c>
    </row>
    <row r="96" spans="1:23">
      <c r="A96" s="9" t="s">
        <v>887</v>
      </c>
      <c r="B96" s="9">
        <f ca="1">+IF(A96=WORLDCUP!$BI$112,1,0)</f>
        <v>0</v>
      </c>
      <c r="C96" s="9" t="str">
        <f ca="1">+WORLDCUP!BD62</f>
        <v>Ivory Coast</v>
      </c>
      <c r="D96" s="9" t="str">
        <f ca="1">+WORLDCUP!BD67</f>
        <v>Algeria</v>
      </c>
      <c r="E96" s="9" t="str">
        <f ca="1">+WORLDCUP!BD59</f>
        <v>Switzerland</v>
      </c>
      <c r="F96" s="9" t="str">
        <f ca="1">+WORLDCUP!BD60</f>
        <v>Scotland</v>
      </c>
      <c r="G96" s="9" t="str">
        <f ca="1">+WORLDCUP!BD66</f>
        <v>Norway</v>
      </c>
      <c r="H96" s="9" t="str">
        <f ca="1">+WORLDCUP!BD63</f>
        <v>Tunisia</v>
      </c>
      <c r="I96" s="9" t="str">
        <f ca="1">+WORLDCUP!BD69</f>
        <v>Croatia</v>
      </c>
      <c r="J96" s="9" t="str">
        <f ca="1">+WORLDCUP!BD68</f>
        <v>DR Congo</v>
      </c>
      <c r="N96" s="16" t="s">
        <v>887</v>
      </c>
      <c r="O96" s="16">
        <v>95</v>
      </c>
      <c r="P96" s="16" t="s">
        <v>104</v>
      </c>
      <c r="Q96" s="16" t="s">
        <v>127</v>
      </c>
      <c r="R96" s="16" t="s">
        <v>91</v>
      </c>
      <c r="S96" s="16" t="s">
        <v>95</v>
      </c>
      <c r="T96" s="16" t="s">
        <v>122</v>
      </c>
      <c r="U96" s="16" t="s">
        <v>109</v>
      </c>
      <c r="V96" s="16" t="s">
        <v>136</v>
      </c>
      <c r="W96" s="16" t="s">
        <v>131</v>
      </c>
    </row>
    <row r="97" spans="1:23">
      <c r="A97" s="9" t="s">
        <v>888</v>
      </c>
      <c r="B97" s="9">
        <f ca="1">+IF(A97=WORLDCUP!$BI$112,1,0)</f>
        <v>0</v>
      </c>
      <c r="C97" s="9" t="str">
        <f ca="1">+WORLDCUP!BD62</f>
        <v>Ivory Coast</v>
      </c>
      <c r="D97" s="9" t="str">
        <f ca="1">+WORLDCUP!BD67</f>
        <v>Algeria</v>
      </c>
      <c r="E97" s="9" t="str">
        <f ca="1">+WORLDCUP!BD59</f>
        <v>Switzerland</v>
      </c>
      <c r="F97" s="9" t="str">
        <f ca="1">+WORLDCUP!BD60</f>
        <v>Scotland</v>
      </c>
      <c r="G97" s="9" t="str">
        <f ca="1">+WORLDCUP!BD65</f>
        <v>Saudi Arabia</v>
      </c>
      <c r="H97" s="9" t="str">
        <f ca="1">+WORLDCUP!BD63</f>
        <v>Tunisia</v>
      </c>
      <c r="I97" s="9" t="str">
        <f ca="1">+WORLDCUP!BD69</f>
        <v>Croatia</v>
      </c>
      <c r="J97" s="9" t="str">
        <f ca="1">+WORLDCUP!BD68</f>
        <v>DR Congo</v>
      </c>
      <c r="N97" s="16" t="s">
        <v>888</v>
      </c>
      <c r="O97" s="16">
        <v>96</v>
      </c>
      <c r="P97" s="16" t="s">
        <v>104</v>
      </c>
      <c r="Q97" s="16" t="s">
        <v>127</v>
      </c>
      <c r="R97" s="16" t="s">
        <v>91</v>
      </c>
      <c r="S97" s="16" t="s">
        <v>95</v>
      </c>
      <c r="T97" s="16" t="s">
        <v>118</v>
      </c>
      <c r="U97" s="16" t="s">
        <v>109</v>
      </c>
      <c r="V97" s="16" t="s">
        <v>136</v>
      </c>
      <c r="W97" s="16" t="s">
        <v>131</v>
      </c>
    </row>
    <row r="98" spans="1:23">
      <c r="A98" s="9" t="s">
        <v>889</v>
      </c>
      <c r="B98" s="9">
        <f ca="1">+IF(A98=WORLDCUP!$BI$112,1,0)</f>
        <v>0</v>
      </c>
      <c r="C98" s="9" t="str">
        <f ca="1">+WORLDCUP!BD62</f>
        <v>Ivory Coast</v>
      </c>
      <c r="D98" s="9" t="str">
        <f ca="1">+WORLDCUP!BD66</f>
        <v>Norway</v>
      </c>
      <c r="E98" s="9" t="str">
        <f ca="1">+WORLDCUP!BD59</f>
        <v>Switzerland</v>
      </c>
      <c r="F98" s="9" t="str">
        <f ca="1">+WORLDCUP!BD60</f>
        <v>Scotland</v>
      </c>
      <c r="G98" s="9" t="str">
        <f ca="1">+WORLDCUP!BD65</f>
        <v>Saudi Arabia</v>
      </c>
      <c r="H98" s="9" t="str">
        <f ca="1">+WORLDCUP!BD63</f>
        <v>Tunisia</v>
      </c>
      <c r="I98" s="9" t="str">
        <f ca="1">+WORLDCUP!BD69</f>
        <v>Croatia</v>
      </c>
      <c r="J98" s="9" t="str">
        <f ca="1">+WORLDCUP!BD68</f>
        <v>DR Congo</v>
      </c>
      <c r="N98" s="16" t="s">
        <v>889</v>
      </c>
      <c r="O98" s="16">
        <v>97</v>
      </c>
      <c r="P98" s="16" t="s">
        <v>104</v>
      </c>
      <c r="Q98" s="16" t="s">
        <v>122</v>
      </c>
      <c r="R98" s="16" t="s">
        <v>91</v>
      </c>
      <c r="S98" s="16" t="s">
        <v>95</v>
      </c>
      <c r="T98" s="16" t="s">
        <v>118</v>
      </c>
      <c r="U98" s="16" t="s">
        <v>109</v>
      </c>
      <c r="V98" s="16" t="s">
        <v>136</v>
      </c>
      <c r="W98" s="16" t="s">
        <v>131</v>
      </c>
    </row>
    <row r="99" spans="1:23">
      <c r="A99" s="9" t="s">
        <v>890</v>
      </c>
      <c r="B99" s="9">
        <f ca="1">+IF(A99=WORLDCUP!$BI$112,1,0)</f>
        <v>0</v>
      </c>
      <c r="C99" s="9" t="str">
        <f ca="1">+WORLDCUP!BD62</f>
        <v>Ivory Coast</v>
      </c>
      <c r="D99" s="9" t="str">
        <f ca="1">+WORLDCUP!BD67</f>
        <v>Algeria</v>
      </c>
      <c r="E99" s="9" t="str">
        <f ca="1">+WORLDCUP!BD59</f>
        <v>Switzerland</v>
      </c>
      <c r="F99" s="9" t="str">
        <f ca="1">+WORLDCUP!BD60</f>
        <v>Scotland</v>
      </c>
      <c r="G99" s="9" t="str">
        <f ca="1">+WORLDCUP!BD65</f>
        <v>Saudi Arabia</v>
      </c>
      <c r="H99" s="9" t="str">
        <f ca="1">+WORLDCUP!BD63</f>
        <v>Tunisia</v>
      </c>
      <c r="I99" s="9" t="str">
        <f ca="1">+WORLDCUP!BD69</f>
        <v>Croatia</v>
      </c>
      <c r="J99" s="9" t="str">
        <f ca="1">+WORLDCUP!BD66</f>
        <v>Norway</v>
      </c>
      <c r="N99" s="16" t="s">
        <v>890</v>
      </c>
      <c r="O99" s="16">
        <v>98</v>
      </c>
      <c r="P99" s="16" t="s">
        <v>104</v>
      </c>
      <c r="Q99" s="16" t="s">
        <v>127</v>
      </c>
      <c r="R99" s="16" t="s">
        <v>91</v>
      </c>
      <c r="S99" s="16" t="s">
        <v>95</v>
      </c>
      <c r="T99" s="16" t="s">
        <v>118</v>
      </c>
      <c r="U99" s="16" t="s">
        <v>109</v>
      </c>
      <c r="V99" s="16" t="s">
        <v>136</v>
      </c>
      <c r="W99" s="16" t="s">
        <v>122</v>
      </c>
    </row>
    <row r="100" spans="1:23">
      <c r="A100" s="9" t="s">
        <v>891</v>
      </c>
      <c r="B100" s="9">
        <f ca="1">+IF(A100=WORLDCUP!$BI$112,1,0)</f>
        <v>0</v>
      </c>
      <c r="C100" s="9" t="str">
        <f ca="1">+WORLDCUP!BD62</f>
        <v>Ivory Coast</v>
      </c>
      <c r="D100" s="9" t="str">
        <f ca="1">+WORLDCUP!BD67</f>
        <v>Algeria</v>
      </c>
      <c r="E100" s="9" t="str">
        <f ca="1">+WORLDCUP!BD59</f>
        <v>Switzerland</v>
      </c>
      <c r="F100" s="9" t="str">
        <f ca="1">+WORLDCUP!BD60</f>
        <v>Scotland</v>
      </c>
      <c r="G100" s="9" t="str">
        <f ca="1">+WORLDCUP!BD65</f>
        <v>Saudi Arabia</v>
      </c>
      <c r="H100" s="9" t="str">
        <f ca="1">+WORLDCUP!BD63</f>
        <v>Tunisia</v>
      </c>
      <c r="I100" s="9" t="str">
        <f ca="1">+WORLDCUP!BD66</f>
        <v>Norway</v>
      </c>
      <c r="J100" s="9" t="str">
        <f ca="1">+WORLDCUP!BD68</f>
        <v>DR Congo</v>
      </c>
      <c r="N100" s="16" t="s">
        <v>891</v>
      </c>
      <c r="O100" s="16">
        <v>99</v>
      </c>
      <c r="P100" s="16" t="s">
        <v>104</v>
      </c>
      <c r="Q100" s="16" t="s">
        <v>127</v>
      </c>
      <c r="R100" s="16" t="s">
        <v>91</v>
      </c>
      <c r="S100" s="16" t="s">
        <v>95</v>
      </c>
      <c r="T100" s="16" t="s">
        <v>118</v>
      </c>
      <c r="U100" s="16" t="s">
        <v>109</v>
      </c>
      <c r="V100" s="16" t="s">
        <v>122</v>
      </c>
      <c r="W100" s="16" t="s">
        <v>131</v>
      </c>
    </row>
    <row r="101" spans="1:23">
      <c r="A101" s="9" t="s">
        <v>892</v>
      </c>
      <c r="B101" s="9">
        <f ca="1">+IF(A101=WORLDCUP!$BI$112,1,0)</f>
        <v>0</v>
      </c>
      <c r="C101" s="9" t="str">
        <f ca="1">+WORLDCUP!BD62</f>
        <v>Ivory Coast</v>
      </c>
      <c r="D101" s="9" t="str">
        <f ca="1">+WORLDCUP!BD64</f>
        <v>Egypt</v>
      </c>
      <c r="E101" s="9" t="str">
        <f ca="1">+WORLDCUP!BD59</f>
        <v>Switzerland</v>
      </c>
      <c r="F101" s="9" t="str">
        <f ca="1">+WORLDCUP!BD60</f>
        <v>Scotland</v>
      </c>
      <c r="G101" s="9" t="str">
        <f ca="1">+WORLDCUP!BD67</f>
        <v>Algeria</v>
      </c>
      <c r="H101" s="9" t="str">
        <f ca="1">+WORLDCUP!BD63</f>
        <v>Tunisia</v>
      </c>
      <c r="I101" s="9" t="str">
        <f ca="1">+WORLDCUP!BD69</f>
        <v>Croatia</v>
      </c>
      <c r="J101" s="9" t="str">
        <f ca="1">+WORLDCUP!BD68</f>
        <v>DR Congo</v>
      </c>
      <c r="N101" s="16" t="s">
        <v>892</v>
      </c>
      <c r="O101" s="16">
        <v>100</v>
      </c>
      <c r="P101" s="16" t="s">
        <v>104</v>
      </c>
      <c r="Q101" s="16" t="s">
        <v>113</v>
      </c>
      <c r="R101" s="16" t="s">
        <v>91</v>
      </c>
      <c r="S101" s="16" t="s">
        <v>95</v>
      </c>
      <c r="T101" s="16" t="s">
        <v>127</v>
      </c>
      <c r="U101" s="16" t="s">
        <v>109</v>
      </c>
      <c r="V101" s="16" t="s">
        <v>136</v>
      </c>
      <c r="W101" s="16" t="s">
        <v>131</v>
      </c>
    </row>
    <row r="102" spans="1:23">
      <c r="A102" s="9" t="s">
        <v>893</v>
      </c>
      <c r="B102" s="9">
        <f ca="1">+IF(A102=WORLDCUP!$BI$112,1,0)</f>
        <v>0</v>
      </c>
      <c r="C102" s="9" t="str">
        <f ca="1">+WORLDCUP!BD62</f>
        <v>Ivory Coast</v>
      </c>
      <c r="D102" s="9" t="str">
        <f ca="1">+WORLDCUP!BD64</f>
        <v>Egypt</v>
      </c>
      <c r="E102" s="9" t="str">
        <f ca="1">+WORLDCUP!BD59</f>
        <v>Switzerland</v>
      </c>
      <c r="F102" s="9" t="str">
        <f ca="1">+WORLDCUP!BD60</f>
        <v>Scotland</v>
      </c>
      <c r="G102" s="9" t="str">
        <f ca="1">+WORLDCUP!BD66</f>
        <v>Norway</v>
      </c>
      <c r="H102" s="9" t="str">
        <f ca="1">+WORLDCUP!BD63</f>
        <v>Tunisia</v>
      </c>
      <c r="I102" s="9" t="str">
        <f ca="1">+WORLDCUP!BD69</f>
        <v>Croatia</v>
      </c>
      <c r="J102" s="9" t="str">
        <f ca="1">+WORLDCUP!BD68</f>
        <v>DR Congo</v>
      </c>
      <c r="N102" s="16" t="s">
        <v>893</v>
      </c>
      <c r="O102" s="16">
        <v>101</v>
      </c>
      <c r="P102" s="16" t="s">
        <v>104</v>
      </c>
      <c r="Q102" s="16" t="s">
        <v>113</v>
      </c>
      <c r="R102" s="16" t="s">
        <v>91</v>
      </c>
      <c r="S102" s="16" t="s">
        <v>95</v>
      </c>
      <c r="T102" s="16" t="s">
        <v>122</v>
      </c>
      <c r="U102" s="16" t="s">
        <v>109</v>
      </c>
      <c r="V102" s="16" t="s">
        <v>136</v>
      </c>
      <c r="W102" s="16" t="s">
        <v>131</v>
      </c>
    </row>
    <row r="103" spans="1:23">
      <c r="A103" s="9" t="s">
        <v>894</v>
      </c>
      <c r="B103" s="9">
        <f ca="1">+IF(A103=WORLDCUP!$BI$112,1,0)</f>
        <v>0</v>
      </c>
      <c r="C103" s="9" t="str">
        <f ca="1">+WORLDCUP!BD62</f>
        <v>Ivory Coast</v>
      </c>
      <c r="D103" s="9" t="str">
        <f ca="1">+WORLDCUP!BD64</f>
        <v>Egypt</v>
      </c>
      <c r="E103" s="9" t="str">
        <f ca="1">+WORLDCUP!BD59</f>
        <v>Switzerland</v>
      </c>
      <c r="F103" s="9" t="str">
        <f ca="1">+WORLDCUP!BD60</f>
        <v>Scotland</v>
      </c>
      <c r="G103" s="9" t="str">
        <f ca="1">+WORLDCUP!BD67</f>
        <v>Algeria</v>
      </c>
      <c r="H103" s="9" t="str">
        <f ca="1">+WORLDCUP!BD63</f>
        <v>Tunisia</v>
      </c>
      <c r="I103" s="9" t="str">
        <f ca="1">+WORLDCUP!BD69</f>
        <v>Croatia</v>
      </c>
      <c r="J103" s="9" t="str">
        <f ca="1">+WORLDCUP!BD66</f>
        <v>Norway</v>
      </c>
      <c r="N103" s="16" t="s">
        <v>894</v>
      </c>
      <c r="O103" s="16">
        <v>102</v>
      </c>
      <c r="P103" s="16" t="s">
        <v>104</v>
      </c>
      <c r="Q103" s="16" t="s">
        <v>113</v>
      </c>
      <c r="R103" s="16" t="s">
        <v>91</v>
      </c>
      <c r="S103" s="16" t="s">
        <v>95</v>
      </c>
      <c r="T103" s="16" t="s">
        <v>127</v>
      </c>
      <c r="U103" s="16" t="s">
        <v>109</v>
      </c>
      <c r="V103" s="16" t="s">
        <v>136</v>
      </c>
      <c r="W103" s="16" t="s">
        <v>122</v>
      </c>
    </row>
    <row r="104" spans="1:23">
      <c r="A104" s="9" t="s">
        <v>895</v>
      </c>
      <c r="B104" s="9">
        <f ca="1">+IF(A104=WORLDCUP!$BI$112,1,0)</f>
        <v>0</v>
      </c>
      <c r="C104" s="9" t="str">
        <f ca="1">+WORLDCUP!BD62</f>
        <v>Ivory Coast</v>
      </c>
      <c r="D104" s="9" t="str">
        <f ca="1">+WORLDCUP!BD64</f>
        <v>Egypt</v>
      </c>
      <c r="E104" s="9" t="str">
        <f ca="1">+WORLDCUP!BD59</f>
        <v>Switzerland</v>
      </c>
      <c r="F104" s="9" t="str">
        <f ca="1">+WORLDCUP!BD60</f>
        <v>Scotland</v>
      </c>
      <c r="G104" s="9" t="str">
        <f ca="1">+WORLDCUP!BD67</f>
        <v>Algeria</v>
      </c>
      <c r="H104" s="9" t="str">
        <f ca="1">+WORLDCUP!BD63</f>
        <v>Tunisia</v>
      </c>
      <c r="I104" s="9" t="str">
        <f ca="1">+WORLDCUP!BD66</f>
        <v>Norway</v>
      </c>
      <c r="J104" s="9" t="str">
        <f ca="1">+WORLDCUP!BD68</f>
        <v>DR Congo</v>
      </c>
      <c r="N104" s="16" t="s">
        <v>895</v>
      </c>
      <c r="O104" s="16">
        <v>103</v>
      </c>
      <c r="P104" s="16" t="s">
        <v>104</v>
      </c>
      <c r="Q104" s="16" t="s">
        <v>113</v>
      </c>
      <c r="R104" s="16" t="s">
        <v>91</v>
      </c>
      <c r="S104" s="16" t="s">
        <v>95</v>
      </c>
      <c r="T104" s="16" t="s">
        <v>127</v>
      </c>
      <c r="U104" s="16" t="s">
        <v>109</v>
      </c>
      <c r="V104" s="16" t="s">
        <v>122</v>
      </c>
      <c r="W104" s="16" t="s">
        <v>131</v>
      </c>
    </row>
    <row r="105" spans="1:23">
      <c r="A105" s="9" t="s">
        <v>896</v>
      </c>
      <c r="B105" s="9">
        <f ca="1">+IF(A105=WORLDCUP!$BI$112,1,0)</f>
        <v>0</v>
      </c>
      <c r="C105" s="9" t="str">
        <f ca="1">+WORLDCUP!BD62</f>
        <v>Ivory Coast</v>
      </c>
      <c r="D105" s="9" t="str">
        <f ca="1">+WORLDCUP!BD64</f>
        <v>Egypt</v>
      </c>
      <c r="E105" s="9" t="str">
        <f ca="1">+WORLDCUP!BD59</f>
        <v>Switzerland</v>
      </c>
      <c r="F105" s="9" t="str">
        <f ca="1">+WORLDCUP!BD60</f>
        <v>Scotland</v>
      </c>
      <c r="G105" s="9" t="str">
        <f ca="1">+WORLDCUP!BD65</f>
        <v>Saudi Arabia</v>
      </c>
      <c r="H105" s="9" t="str">
        <f ca="1">+WORLDCUP!BD63</f>
        <v>Tunisia</v>
      </c>
      <c r="I105" s="9" t="str">
        <f ca="1">+WORLDCUP!BD69</f>
        <v>Croatia</v>
      </c>
      <c r="J105" s="9" t="str">
        <f ca="1">+WORLDCUP!BD68</f>
        <v>DR Congo</v>
      </c>
      <c r="N105" s="16" t="s">
        <v>896</v>
      </c>
      <c r="O105" s="16">
        <v>104</v>
      </c>
      <c r="P105" s="16" t="s">
        <v>104</v>
      </c>
      <c r="Q105" s="16" t="s">
        <v>113</v>
      </c>
      <c r="R105" s="16" t="s">
        <v>91</v>
      </c>
      <c r="S105" s="16" t="s">
        <v>95</v>
      </c>
      <c r="T105" s="16" t="s">
        <v>118</v>
      </c>
      <c r="U105" s="16" t="s">
        <v>109</v>
      </c>
      <c r="V105" s="16" t="s">
        <v>136</v>
      </c>
      <c r="W105" s="16" t="s">
        <v>131</v>
      </c>
    </row>
    <row r="106" spans="1:23">
      <c r="A106" s="9" t="s">
        <v>897</v>
      </c>
      <c r="B106" s="9">
        <f ca="1">+IF(A106=WORLDCUP!$BI$112,1,0)</f>
        <v>0</v>
      </c>
      <c r="C106" s="9" t="str">
        <f ca="1">+WORLDCUP!BD65</f>
        <v>Saudi Arabia</v>
      </c>
      <c r="D106" s="9" t="str">
        <f ca="1">+WORLDCUP!BD64</f>
        <v>Egypt</v>
      </c>
      <c r="E106" s="9" t="str">
        <f ca="1">+WORLDCUP!BD59</f>
        <v>Switzerland</v>
      </c>
      <c r="F106" s="9" t="str">
        <f ca="1">+WORLDCUP!BD60</f>
        <v>Scotland</v>
      </c>
      <c r="G106" s="9" t="str">
        <f ca="1">+WORLDCUP!BD67</f>
        <v>Algeria</v>
      </c>
      <c r="H106" s="9" t="str">
        <f ca="1">+WORLDCUP!BD63</f>
        <v>Tunisia</v>
      </c>
      <c r="I106" s="9" t="str">
        <f ca="1">+WORLDCUP!BD69</f>
        <v>Croatia</v>
      </c>
      <c r="J106" s="9" t="str">
        <f ca="1">+WORLDCUP!BD62</f>
        <v>Ivory Coast</v>
      </c>
      <c r="N106" s="16" t="s">
        <v>897</v>
      </c>
      <c r="O106" s="16">
        <v>105</v>
      </c>
      <c r="P106" s="16" t="s">
        <v>118</v>
      </c>
      <c r="Q106" s="16" t="s">
        <v>113</v>
      </c>
      <c r="R106" s="16" t="s">
        <v>91</v>
      </c>
      <c r="S106" s="16" t="s">
        <v>95</v>
      </c>
      <c r="T106" s="16" t="s">
        <v>127</v>
      </c>
      <c r="U106" s="16" t="s">
        <v>109</v>
      </c>
      <c r="V106" s="16" t="s">
        <v>136</v>
      </c>
      <c r="W106" s="16" t="s">
        <v>104</v>
      </c>
    </row>
    <row r="107" spans="1:23">
      <c r="A107" s="9" t="s">
        <v>898</v>
      </c>
      <c r="B107" s="9">
        <f ca="1">+IF(A107=WORLDCUP!$BI$112,1,0)</f>
        <v>0</v>
      </c>
      <c r="C107" s="9" t="str">
        <f ca="1">+WORLDCUP!BD65</f>
        <v>Saudi Arabia</v>
      </c>
      <c r="D107" s="9" t="str">
        <f ca="1">+WORLDCUP!BD64</f>
        <v>Egypt</v>
      </c>
      <c r="E107" s="9" t="str">
        <f ca="1">+WORLDCUP!BD59</f>
        <v>Switzerland</v>
      </c>
      <c r="F107" s="9" t="str">
        <f ca="1">+WORLDCUP!BD60</f>
        <v>Scotland</v>
      </c>
      <c r="G107" s="9" t="str">
        <f ca="1">+WORLDCUP!BD67</f>
        <v>Algeria</v>
      </c>
      <c r="H107" s="9" t="str">
        <f ca="1">+WORLDCUP!BD63</f>
        <v>Tunisia</v>
      </c>
      <c r="I107" s="9" t="str">
        <f ca="1">+WORLDCUP!BD62</f>
        <v>Ivory Coast</v>
      </c>
      <c r="J107" s="9" t="str">
        <f ca="1">+WORLDCUP!BD68</f>
        <v>DR Congo</v>
      </c>
      <c r="N107" s="16" t="s">
        <v>898</v>
      </c>
      <c r="O107" s="16">
        <v>106</v>
      </c>
      <c r="P107" s="16" t="s">
        <v>118</v>
      </c>
      <c r="Q107" s="16" t="s">
        <v>113</v>
      </c>
      <c r="R107" s="16" t="s">
        <v>91</v>
      </c>
      <c r="S107" s="16" t="s">
        <v>95</v>
      </c>
      <c r="T107" s="16" t="s">
        <v>127</v>
      </c>
      <c r="U107" s="16" t="s">
        <v>109</v>
      </c>
      <c r="V107" s="16" t="s">
        <v>104</v>
      </c>
      <c r="W107" s="16" t="s">
        <v>131</v>
      </c>
    </row>
    <row r="108" spans="1:23">
      <c r="A108" s="9" t="s">
        <v>899</v>
      </c>
      <c r="B108" s="9">
        <f ca="1">+IF(A108=WORLDCUP!$BI$112,1,0)</f>
        <v>0</v>
      </c>
      <c r="C108" s="9" t="str">
        <f ca="1">+WORLDCUP!BD62</f>
        <v>Ivory Coast</v>
      </c>
      <c r="D108" s="9" t="str">
        <f ca="1">+WORLDCUP!BD64</f>
        <v>Egypt</v>
      </c>
      <c r="E108" s="9" t="str">
        <f ca="1">+WORLDCUP!BD59</f>
        <v>Switzerland</v>
      </c>
      <c r="F108" s="9" t="str">
        <f ca="1">+WORLDCUP!BD60</f>
        <v>Scotland</v>
      </c>
      <c r="G108" s="9" t="str">
        <f ca="1">+WORLDCUP!BD65</f>
        <v>Saudi Arabia</v>
      </c>
      <c r="H108" s="9" t="str">
        <f ca="1">+WORLDCUP!BD63</f>
        <v>Tunisia</v>
      </c>
      <c r="I108" s="9" t="str">
        <f ca="1">+WORLDCUP!BD69</f>
        <v>Croatia</v>
      </c>
      <c r="J108" s="9" t="str">
        <f ca="1">+WORLDCUP!BD66</f>
        <v>Norway</v>
      </c>
      <c r="N108" s="16" t="s">
        <v>899</v>
      </c>
      <c r="O108" s="16">
        <v>107</v>
      </c>
      <c r="P108" s="16" t="s">
        <v>104</v>
      </c>
      <c r="Q108" s="16" t="s">
        <v>113</v>
      </c>
      <c r="R108" s="16" t="s">
        <v>91</v>
      </c>
      <c r="S108" s="16" t="s">
        <v>95</v>
      </c>
      <c r="T108" s="16" t="s">
        <v>118</v>
      </c>
      <c r="U108" s="16" t="s">
        <v>109</v>
      </c>
      <c r="V108" s="16" t="s">
        <v>136</v>
      </c>
      <c r="W108" s="16" t="s">
        <v>122</v>
      </c>
    </row>
    <row r="109" spans="1:23">
      <c r="A109" s="9" t="s">
        <v>900</v>
      </c>
      <c r="B109" s="9">
        <f ca="1">+IF(A109=WORLDCUP!$BI$112,1,0)</f>
        <v>0</v>
      </c>
      <c r="C109" s="9" t="str">
        <f ca="1">+WORLDCUP!BD62</f>
        <v>Ivory Coast</v>
      </c>
      <c r="D109" s="9" t="str">
        <f ca="1">+WORLDCUP!BD64</f>
        <v>Egypt</v>
      </c>
      <c r="E109" s="9" t="str">
        <f ca="1">+WORLDCUP!BD59</f>
        <v>Switzerland</v>
      </c>
      <c r="F109" s="9" t="str">
        <f ca="1">+WORLDCUP!BD60</f>
        <v>Scotland</v>
      </c>
      <c r="G109" s="9" t="str">
        <f ca="1">+WORLDCUP!BD65</f>
        <v>Saudi Arabia</v>
      </c>
      <c r="H109" s="9" t="str">
        <f ca="1">+WORLDCUP!BD63</f>
        <v>Tunisia</v>
      </c>
      <c r="I109" s="9" t="str">
        <f ca="1">+WORLDCUP!BD66</f>
        <v>Norway</v>
      </c>
      <c r="J109" s="9" t="str">
        <f ca="1">+WORLDCUP!BD68</f>
        <v>DR Congo</v>
      </c>
      <c r="N109" s="16" t="s">
        <v>900</v>
      </c>
      <c r="O109" s="16">
        <v>108</v>
      </c>
      <c r="P109" s="16" t="s">
        <v>104</v>
      </c>
      <c r="Q109" s="16" t="s">
        <v>113</v>
      </c>
      <c r="R109" s="16" t="s">
        <v>91</v>
      </c>
      <c r="S109" s="16" t="s">
        <v>95</v>
      </c>
      <c r="T109" s="16" t="s">
        <v>118</v>
      </c>
      <c r="U109" s="16" t="s">
        <v>109</v>
      </c>
      <c r="V109" s="16" t="s">
        <v>122</v>
      </c>
      <c r="W109" s="16" t="s">
        <v>131</v>
      </c>
    </row>
    <row r="110" spans="1:23">
      <c r="A110" s="9" t="s">
        <v>901</v>
      </c>
      <c r="B110" s="9">
        <f ca="1">+IF(A110=WORLDCUP!$BI$112,1,0)</f>
        <v>0</v>
      </c>
      <c r="C110" s="9" t="str">
        <f ca="1">+WORLDCUP!BD65</f>
        <v>Saudi Arabia</v>
      </c>
      <c r="D110" s="9" t="str">
        <f ca="1">+WORLDCUP!BD64</f>
        <v>Egypt</v>
      </c>
      <c r="E110" s="9" t="str">
        <f ca="1">+WORLDCUP!BD59</f>
        <v>Switzerland</v>
      </c>
      <c r="F110" s="9" t="str">
        <f ca="1">+WORLDCUP!BD60</f>
        <v>Scotland</v>
      </c>
      <c r="G110" s="9" t="str">
        <f ca="1">+WORLDCUP!BD67</f>
        <v>Algeria</v>
      </c>
      <c r="H110" s="9" t="str">
        <f ca="1">+WORLDCUP!BD63</f>
        <v>Tunisia</v>
      </c>
      <c r="I110" s="9" t="str">
        <f ca="1">+WORLDCUP!BD62</f>
        <v>Ivory Coast</v>
      </c>
      <c r="J110" s="9" t="str">
        <f ca="1">+WORLDCUP!BD66</f>
        <v>Norway</v>
      </c>
      <c r="N110" s="16" t="s">
        <v>901</v>
      </c>
      <c r="O110" s="16">
        <v>109</v>
      </c>
      <c r="P110" s="16" t="s">
        <v>118</v>
      </c>
      <c r="Q110" s="16" t="s">
        <v>113</v>
      </c>
      <c r="R110" s="16" t="s">
        <v>91</v>
      </c>
      <c r="S110" s="16" t="s">
        <v>95</v>
      </c>
      <c r="T110" s="16" t="s">
        <v>127</v>
      </c>
      <c r="U110" s="16" t="s">
        <v>109</v>
      </c>
      <c r="V110" s="16" t="s">
        <v>104</v>
      </c>
      <c r="W110" s="16" t="s">
        <v>122</v>
      </c>
    </row>
    <row r="111" spans="1:23">
      <c r="A111" s="9" t="s">
        <v>902</v>
      </c>
      <c r="B111" s="9">
        <f ca="1">+IF(A111=WORLDCUP!$BI$112,1,0)</f>
        <v>0</v>
      </c>
      <c r="C111" s="9" t="str">
        <f ca="1">+WORLDCUP!BD65</f>
        <v>Saudi Arabia</v>
      </c>
      <c r="D111" s="9" t="str">
        <f ca="1">+WORLDCUP!BD67</f>
        <v>Algeria</v>
      </c>
      <c r="E111" s="9" t="str">
        <f ca="1">+WORLDCUP!BD59</f>
        <v>Switzerland</v>
      </c>
      <c r="F111" s="9" t="str">
        <f ca="1">+WORLDCUP!BD60</f>
        <v>Scotland</v>
      </c>
      <c r="G111" s="9" t="str">
        <f ca="1">+WORLDCUP!BD66</f>
        <v>Norway</v>
      </c>
      <c r="H111" s="9" t="str">
        <f ca="1">+WORLDCUP!BD61</f>
        <v>Australia</v>
      </c>
      <c r="I111" s="9" t="str">
        <f ca="1">+WORLDCUP!BD69</f>
        <v>Croatia</v>
      </c>
      <c r="J111" s="9" t="str">
        <f ca="1">+WORLDCUP!BD68</f>
        <v>DR Congo</v>
      </c>
      <c r="N111" s="16" t="s">
        <v>902</v>
      </c>
      <c r="O111" s="16">
        <v>110</v>
      </c>
      <c r="P111" s="16" t="s">
        <v>118</v>
      </c>
      <c r="Q111" s="16" t="s">
        <v>127</v>
      </c>
      <c r="R111" s="16" t="s">
        <v>91</v>
      </c>
      <c r="S111" s="16" t="s">
        <v>95</v>
      </c>
      <c r="T111" s="16" t="s">
        <v>122</v>
      </c>
      <c r="U111" s="16" t="s">
        <v>100</v>
      </c>
      <c r="V111" s="16" t="s">
        <v>136</v>
      </c>
      <c r="W111" s="16" t="s">
        <v>131</v>
      </c>
    </row>
    <row r="112" spans="1:23">
      <c r="A112" s="9" t="s">
        <v>903</v>
      </c>
      <c r="B112" s="9">
        <f ca="1">+IF(A112=WORLDCUP!$BI$112,1,0)</f>
        <v>0</v>
      </c>
      <c r="C112" s="9" t="str">
        <f ca="1">+WORLDCUP!BD66</f>
        <v>Norway</v>
      </c>
      <c r="D112" s="9" t="str">
        <f ca="1">+WORLDCUP!BD64</f>
        <v>Egypt</v>
      </c>
      <c r="E112" s="9" t="str">
        <f ca="1">+WORLDCUP!BD59</f>
        <v>Switzerland</v>
      </c>
      <c r="F112" s="9" t="str">
        <f ca="1">+WORLDCUP!BD60</f>
        <v>Scotland</v>
      </c>
      <c r="G112" s="9" t="str">
        <f ca="1">+WORLDCUP!BD67</f>
        <v>Algeria</v>
      </c>
      <c r="H112" s="9" t="str">
        <f ca="1">+WORLDCUP!BD61</f>
        <v>Australia</v>
      </c>
      <c r="I112" s="9" t="str">
        <f ca="1">+WORLDCUP!BD69</f>
        <v>Croatia</v>
      </c>
      <c r="J112" s="9" t="str">
        <f ca="1">+WORLDCUP!BD68</f>
        <v>DR Congo</v>
      </c>
      <c r="N112" s="16" t="s">
        <v>903</v>
      </c>
      <c r="O112" s="16">
        <v>111</v>
      </c>
      <c r="P112" s="16" t="s">
        <v>122</v>
      </c>
      <c r="Q112" s="16" t="s">
        <v>113</v>
      </c>
      <c r="R112" s="16" t="s">
        <v>91</v>
      </c>
      <c r="S112" s="16" t="s">
        <v>95</v>
      </c>
      <c r="T112" s="16" t="s">
        <v>127</v>
      </c>
      <c r="U112" s="16" t="s">
        <v>100</v>
      </c>
      <c r="V112" s="16" t="s">
        <v>136</v>
      </c>
      <c r="W112" s="16" t="s">
        <v>131</v>
      </c>
    </row>
    <row r="113" spans="1:23">
      <c r="A113" s="9" t="s">
        <v>904</v>
      </c>
      <c r="B113" s="9">
        <f ca="1">+IF(A113=WORLDCUP!$BI$112,1,0)</f>
        <v>0</v>
      </c>
      <c r="C113" s="9" t="str">
        <f ca="1">+WORLDCUP!BD65</f>
        <v>Saudi Arabia</v>
      </c>
      <c r="D113" s="9" t="str">
        <f ca="1">+WORLDCUP!BD64</f>
        <v>Egypt</v>
      </c>
      <c r="E113" s="9" t="str">
        <f ca="1">+WORLDCUP!BD59</f>
        <v>Switzerland</v>
      </c>
      <c r="F113" s="9" t="str">
        <f ca="1">+WORLDCUP!BD60</f>
        <v>Scotland</v>
      </c>
      <c r="G113" s="9" t="str">
        <f ca="1">+WORLDCUP!BD67</f>
        <v>Algeria</v>
      </c>
      <c r="H113" s="9" t="str">
        <f ca="1">+WORLDCUP!BD61</f>
        <v>Australia</v>
      </c>
      <c r="I113" s="9" t="str">
        <f ca="1">+WORLDCUP!BD69</f>
        <v>Croatia</v>
      </c>
      <c r="J113" s="9" t="str">
        <f ca="1">+WORLDCUP!BD68</f>
        <v>DR Congo</v>
      </c>
      <c r="N113" s="16" t="s">
        <v>904</v>
      </c>
      <c r="O113" s="16">
        <v>112</v>
      </c>
      <c r="P113" s="16" t="s">
        <v>118</v>
      </c>
      <c r="Q113" s="16" t="s">
        <v>113</v>
      </c>
      <c r="R113" s="16" t="s">
        <v>91</v>
      </c>
      <c r="S113" s="16" t="s">
        <v>95</v>
      </c>
      <c r="T113" s="16" t="s">
        <v>127</v>
      </c>
      <c r="U113" s="16" t="s">
        <v>100</v>
      </c>
      <c r="V113" s="16" t="s">
        <v>136</v>
      </c>
      <c r="W113" s="16" t="s">
        <v>131</v>
      </c>
    </row>
    <row r="114" spans="1:23">
      <c r="A114" s="9" t="s">
        <v>905</v>
      </c>
      <c r="B114" s="9">
        <f ca="1">+IF(A114=WORLDCUP!$BI$112,1,0)</f>
        <v>0</v>
      </c>
      <c r="C114" s="9" t="str">
        <f ca="1">+WORLDCUP!BD65</f>
        <v>Saudi Arabia</v>
      </c>
      <c r="D114" s="9" t="str">
        <f ca="1">+WORLDCUP!BD64</f>
        <v>Egypt</v>
      </c>
      <c r="E114" s="9" t="str">
        <f ca="1">+WORLDCUP!BD59</f>
        <v>Switzerland</v>
      </c>
      <c r="F114" s="9" t="str">
        <f ca="1">+WORLDCUP!BD60</f>
        <v>Scotland</v>
      </c>
      <c r="G114" s="9" t="str">
        <f ca="1">+WORLDCUP!BD66</f>
        <v>Norway</v>
      </c>
      <c r="H114" s="9" t="str">
        <f ca="1">+WORLDCUP!BD61</f>
        <v>Australia</v>
      </c>
      <c r="I114" s="9" t="str">
        <f ca="1">+WORLDCUP!BD69</f>
        <v>Croatia</v>
      </c>
      <c r="J114" s="9" t="str">
        <f ca="1">+WORLDCUP!BD68</f>
        <v>DR Congo</v>
      </c>
      <c r="N114" s="16" t="s">
        <v>905</v>
      </c>
      <c r="O114" s="16">
        <v>113</v>
      </c>
      <c r="P114" s="16" t="s">
        <v>118</v>
      </c>
      <c r="Q114" s="16" t="s">
        <v>113</v>
      </c>
      <c r="R114" s="16" t="s">
        <v>91</v>
      </c>
      <c r="S114" s="16" t="s">
        <v>95</v>
      </c>
      <c r="T114" s="16" t="s">
        <v>122</v>
      </c>
      <c r="U114" s="16" t="s">
        <v>100</v>
      </c>
      <c r="V114" s="16" t="s">
        <v>136</v>
      </c>
      <c r="W114" s="16" t="s">
        <v>131</v>
      </c>
    </row>
    <row r="115" spans="1:23">
      <c r="A115" s="9" t="s">
        <v>906</v>
      </c>
      <c r="B115" s="9">
        <f ca="1">+IF(A115=WORLDCUP!$BI$112,1,0)</f>
        <v>0</v>
      </c>
      <c r="C115" s="9" t="str">
        <f ca="1">+WORLDCUP!BD65</f>
        <v>Saudi Arabia</v>
      </c>
      <c r="D115" s="9" t="str">
        <f ca="1">+WORLDCUP!BD64</f>
        <v>Egypt</v>
      </c>
      <c r="E115" s="9" t="str">
        <f ca="1">+WORLDCUP!BD59</f>
        <v>Switzerland</v>
      </c>
      <c r="F115" s="9" t="str">
        <f ca="1">+WORLDCUP!BD60</f>
        <v>Scotland</v>
      </c>
      <c r="G115" s="9" t="str">
        <f ca="1">+WORLDCUP!BD67</f>
        <v>Algeria</v>
      </c>
      <c r="H115" s="9" t="str">
        <f ca="1">+WORLDCUP!BD61</f>
        <v>Australia</v>
      </c>
      <c r="I115" s="9" t="str">
        <f ca="1">+WORLDCUP!BD69</f>
        <v>Croatia</v>
      </c>
      <c r="J115" s="9" t="str">
        <f ca="1">+WORLDCUP!BD66</f>
        <v>Norway</v>
      </c>
      <c r="N115" s="16" t="s">
        <v>906</v>
      </c>
      <c r="O115" s="16">
        <v>114</v>
      </c>
      <c r="P115" s="16" t="s">
        <v>118</v>
      </c>
      <c r="Q115" s="16" t="s">
        <v>113</v>
      </c>
      <c r="R115" s="16" t="s">
        <v>91</v>
      </c>
      <c r="S115" s="16" t="s">
        <v>95</v>
      </c>
      <c r="T115" s="16" t="s">
        <v>127</v>
      </c>
      <c r="U115" s="16" t="s">
        <v>100</v>
      </c>
      <c r="V115" s="16" t="s">
        <v>136</v>
      </c>
      <c r="W115" s="16" t="s">
        <v>122</v>
      </c>
    </row>
    <row r="116" spans="1:23">
      <c r="A116" s="9" t="s">
        <v>907</v>
      </c>
      <c r="B116" s="9">
        <f ca="1">+IF(A116=WORLDCUP!$BI$112,1,0)</f>
        <v>0</v>
      </c>
      <c r="C116" s="9" t="str">
        <f ca="1">+WORLDCUP!BD65</f>
        <v>Saudi Arabia</v>
      </c>
      <c r="D116" s="9" t="str">
        <f ca="1">+WORLDCUP!BD64</f>
        <v>Egypt</v>
      </c>
      <c r="E116" s="9" t="str">
        <f ca="1">+WORLDCUP!BD59</f>
        <v>Switzerland</v>
      </c>
      <c r="F116" s="9" t="str">
        <f ca="1">+WORLDCUP!BD60</f>
        <v>Scotland</v>
      </c>
      <c r="G116" s="9" t="str">
        <f ca="1">+WORLDCUP!BD67</f>
        <v>Algeria</v>
      </c>
      <c r="H116" s="9" t="str">
        <f ca="1">+WORLDCUP!BD61</f>
        <v>Australia</v>
      </c>
      <c r="I116" s="9" t="str">
        <f ca="1">+WORLDCUP!BD66</f>
        <v>Norway</v>
      </c>
      <c r="J116" s="9" t="str">
        <f ca="1">+WORLDCUP!BD68</f>
        <v>DR Congo</v>
      </c>
      <c r="N116" s="16" t="s">
        <v>907</v>
      </c>
      <c r="O116" s="16">
        <v>115</v>
      </c>
      <c r="P116" s="16" t="s">
        <v>118</v>
      </c>
      <c r="Q116" s="16" t="s">
        <v>113</v>
      </c>
      <c r="R116" s="16" t="s">
        <v>91</v>
      </c>
      <c r="S116" s="16" t="s">
        <v>95</v>
      </c>
      <c r="T116" s="16" t="s">
        <v>127</v>
      </c>
      <c r="U116" s="16" t="s">
        <v>100</v>
      </c>
      <c r="V116" s="16" t="s">
        <v>122</v>
      </c>
      <c r="W116" s="16" t="s">
        <v>131</v>
      </c>
    </row>
    <row r="117" spans="1:23">
      <c r="A117" s="9" t="s">
        <v>908</v>
      </c>
      <c r="B117" s="9">
        <f ca="1">+IF(A117=WORLDCUP!$BI$112,1,0)</f>
        <v>0</v>
      </c>
      <c r="C117" s="9" t="str">
        <f ca="1">+WORLDCUP!BD60</f>
        <v>Scotland</v>
      </c>
      <c r="D117" s="9" t="str">
        <f ca="1">+WORLDCUP!BD67</f>
        <v>Algeria</v>
      </c>
      <c r="E117" s="9" t="str">
        <f ca="1">+WORLDCUP!BD59</f>
        <v>Switzerland</v>
      </c>
      <c r="F117" s="9" t="str">
        <f ca="1">+WORLDCUP!BD61</f>
        <v>Australia</v>
      </c>
      <c r="G117" s="9" t="str">
        <f ca="1">+WORLDCUP!BD66</f>
        <v>Norway</v>
      </c>
      <c r="H117" s="9" t="str">
        <f ca="1">+WORLDCUP!BD63</f>
        <v>Tunisia</v>
      </c>
      <c r="I117" s="9" t="str">
        <f ca="1">+WORLDCUP!BD69</f>
        <v>Croatia</v>
      </c>
      <c r="J117" s="9" t="str">
        <f ca="1">+WORLDCUP!BD68</f>
        <v>DR Congo</v>
      </c>
      <c r="N117" s="16" t="s">
        <v>908</v>
      </c>
      <c r="O117" s="16">
        <v>116</v>
      </c>
      <c r="P117" s="16" t="s">
        <v>95</v>
      </c>
      <c r="Q117" s="16" t="s">
        <v>127</v>
      </c>
      <c r="R117" s="16" t="s">
        <v>91</v>
      </c>
      <c r="S117" s="16" t="s">
        <v>100</v>
      </c>
      <c r="T117" s="16" t="s">
        <v>122</v>
      </c>
      <c r="U117" s="16" t="s">
        <v>109</v>
      </c>
      <c r="V117" s="16" t="s">
        <v>136</v>
      </c>
      <c r="W117" s="16" t="s">
        <v>131</v>
      </c>
    </row>
    <row r="118" spans="1:23">
      <c r="A118" s="9" t="s">
        <v>909</v>
      </c>
      <c r="B118" s="9">
        <f ca="1">+IF(A118=WORLDCUP!$BI$112,1,0)</f>
        <v>0</v>
      </c>
      <c r="C118" s="9" t="str">
        <f ca="1">+WORLDCUP!BD60</f>
        <v>Scotland</v>
      </c>
      <c r="D118" s="9" t="str">
        <f ca="1">+WORLDCUP!BD67</f>
        <v>Algeria</v>
      </c>
      <c r="E118" s="9" t="str">
        <f ca="1">+WORLDCUP!BD59</f>
        <v>Switzerland</v>
      </c>
      <c r="F118" s="9" t="str">
        <f ca="1">+WORLDCUP!BD61</f>
        <v>Australia</v>
      </c>
      <c r="G118" s="9" t="str">
        <f ca="1">+WORLDCUP!BD65</f>
        <v>Saudi Arabia</v>
      </c>
      <c r="H118" s="9" t="str">
        <f ca="1">+WORLDCUP!BD63</f>
        <v>Tunisia</v>
      </c>
      <c r="I118" s="9" t="str">
        <f ca="1">+WORLDCUP!BD69</f>
        <v>Croatia</v>
      </c>
      <c r="J118" s="9" t="str">
        <f ca="1">+WORLDCUP!BD68</f>
        <v>DR Congo</v>
      </c>
      <c r="N118" s="16" t="s">
        <v>909</v>
      </c>
      <c r="O118" s="16">
        <v>117</v>
      </c>
      <c r="P118" s="16" t="s">
        <v>95</v>
      </c>
      <c r="Q118" s="16" t="s">
        <v>127</v>
      </c>
      <c r="R118" s="16" t="s">
        <v>91</v>
      </c>
      <c r="S118" s="16" t="s">
        <v>100</v>
      </c>
      <c r="T118" s="16" t="s">
        <v>118</v>
      </c>
      <c r="U118" s="16" t="s">
        <v>109</v>
      </c>
      <c r="V118" s="16" t="s">
        <v>136</v>
      </c>
      <c r="W118" s="16" t="s">
        <v>131</v>
      </c>
    </row>
    <row r="119" spans="1:23">
      <c r="A119" s="9" t="s">
        <v>910</v>
      </c>
      <c r="B119" s="9">
        <f ca="1">+IF(A119=WORLDCUP!$BI$112,1,0)</f>
        <v>0</v>
      </c>
      <c r="C119" s="9" t="str">
        <f ca="1">+WORLDCUP!BD60</f>
        <v>Scotland</v>
      </c>
      <c r="D119" s="9" t="str">
        <f ca="1">+WORLDCUP!BD66</f>
        <v>Norway</v>
      </c>
      <c r="E119" s="9" t="str">
        <f ca="1">+WORLDCUP!BD59</f>
        <v>Switzerland</v>
      </c>
      <c r="F119" s="9" t="str">
        <f ca="1">+WORLDCUP!BD61</f>
        <v>Australia</v>
      </c>
      <c r="G119" s="9" t="str">
        <f ca="1">+WORLDCUP!BD65</f>
        <v>Saudi Arabia</v>
      </c>
      <c r="H119" s="9" t="str">
        <f ca="1">+WORLDCUP!BD63</f>
        <v>Tunisia</v>
      </c>
      <c r="I119" s="9" t="str">
        <f ca="1">+WORLDCUP!BD69</f>
        <v>Croatia</v>
      </c>
      <c r="J119" s="9" t="str">
        <f ca="1">+WORLDCUP!BD68</f>
        <v>DR Congo</v>
      </c>
      <c r="N119" s="16" t="s">
        <v>910</v>
      </c>
      <c r="O119" s="16">
        <v>118</v>
      </c>
      <c r="P119" s="16" t="s">
        <v>95</v>
      </c>
      <c r="Q119" s="16" t="s">
        <v>122</v>
      </c>
      <c r="R119" s="16" t="s">
        <v>91</v>
      </c>
      <c r="S119" s="16" t="s">
        <v>100</v>
      </c>
      <c r="T119" s="16" t="s">
        <v>118</v>
      </c>
      <c r="U119" s="16" t="s">
        <v>109</v>
      </c>
      <c r="V119" s="16" t="s">
        <v>136</v>
      </c>
      <c r="W119" s="16" t="s">
        <v>131</v>
      </c>
    </row>
    <row r="120" spans="1:23">
      <c r="A120" s="9" t="s">
        <v>911</v>
      </c>
      <c r="B120" s="9">
        <f ca="1">+IF(A120=WORLDCUP!$BI$112,1,0)</f>
        <v>0</v>
      </c>
      <c r="C120" s="9" t="str">
        <f ca="1">+WORLDCUP!BD60</f>
        <v>Scotland</v>
      </c>
      <c r="D120" s="9" t="str">
        <f ca="1">+WORLDCUP!BD67</f>
        <v>Algeria</v>
      </c>
      <c r="E120" s="9" t="str">
        <f ca="1">+WORLDCUP!BD59</f>
        <v>Switzerland</v>
      </c>
      <c r="F120" s="9" t="str">
        <f ca="1">+WORLDCUP!BD61</f>
        <v>Australia</v>
      </c>
      <c r="G120" s="9" t="str">
        <f ca="1">+WORLDCUP!BD65</f>
        <v>Saudi Arabia</v>
      </c>
      <c r="H120" s="9" t="str">
        <f ca="1">+WORLDCUP!BD63</f>
        <v>Tunisia</v>
      </c>
      <c r="I120" s="9" t="str">
        <f ca="1">+WORLDCUP!BD69</f>
        <v>Croatia</v>
      </c>
      <c r="J120" s="9" t="str">
        <f ca="1">+WORLDCUP!BD66</f>
        <v>Norway</v>
      </c>
      <c r="N120" s="16" t="s">
        <v>911</v>
      </c>
      <c r="O120" s="16">
        <v>119</v>
      </c>
      <c r="P120" s="16" t="s">
        <v>95</v>
      </c>
      <c r="Q120" s="16" t="s">
        <v>127</v>
      </c>
      <c r="R120" s="16" t="s">
        <v>91</v>
      </c>
      <c r="S120" s="16" t="s">
        <v>100</v>
      </c>
      <c r="T120" s="16" t="s">
        <v>118</v>
      </c>
      <c r="U120" s="16" t="s">
        <v>109</v>
      </c>
      <c r="V120" s="16" t="s">
        <v>136</v>
      </c>
      <c r="W120" s="16" t="s">
        <v>122</v>
      </c>
    </row>
    <row r="121" spans="1:23">
      <c r="A121" s="9" t="s">
        <v>912</v>
      </c>
      <c r="B121" s="9">
        <f ca="1">+IF(A121=WORLDCUP!$BI$112,1,0)</f>
        <v>0</v>
      </c>
      <c r="C121" s="9" t="str">
        <f ca="1">+WORLDCUP!BD60</f>
        <v>Scotland</v>
      </c>
      <c r="D121" s="9" t="str">
        <f ca="1">+WORLDCUP!BD67</f>
        <v>Algeria</v>
      </c>
      <c r="E121" s="9" t="str">
        <f ca="1">+WORLDCUP!BD59</f>
        <v>Switzerland</v>
      </c>
      <c r="F121" s="9" t="str">
        <f ca="1">+WORLDCUP!BD61</f>
        <v>Australia</v>
      </c>
      <c r="G121" s="9" t="str">
        <f ca="1">+WORLDCUP!BD65</f>
        <v>Saudi Arabia</v>
      </c>
      <c r="H121" s="9" t="str">
        <f ca="1">+WORLDCUP!BD63</f>
        <v>Tunisia</v>
      </c>
      <c r="I121" s="9" t="str">
        <f ca="1">+WORLDCUP!BD66</f>
        <v>Norway</v>
      </c>
      <c r="J121" s="9" t="str">
        <f ca="1">+WORLDCUP!BD68</f>
        <v>DR Congo</v>
      </c>
      <c r="N121" s="16" t="s">
        <v>912</v>
      </c>
      <c r="O121" s="16">
        <v>120</v>
      </c>
      <c r="P121" s="16" t="s">
        <v>95</v>
      </c>
      <c r="Q121" s="16" t="s">
        <v>127</v>
      </c>
      <c r="R121" s="16" t="s">
        <v>91</v>
      </c>
      <c r="S121" s="16" t="s">
        <v>100</v>
      </c>
      <c r="T121" s="16" t="s">
        <v>118</v>
      </c>
      <c r="U121" s="16" t="s">
        <v>109</v>
      </c>
      <c r="V121" s="16" t="s">
        <v>122</v>
      </c>
      <c r="W121" s="16" t="s">
        <v>131</v>
      </c>
    </row>
    <row r="122" spans="1:23">
      <c r="A122" s="9" t="s">
        <v>913</v>
      </c>
      <c r="B122" s="9">
        <f ca="1">+IF(A122=WORLDCUP!$BI$112,1,0)</f>
        <v>0</v>
      </c>
      <c r="C122" s="9" t="str">
        <f ca="1">+WORLDCUP!BD60</f>
        <v>Scotland</v>
      </c>
      <c r="D122" s="9" t="str">
        <f ca="1">+WORLDCUP!BD64</f>
        <v>Egypt</v>
      </c>
      <c r="E122" s="9" t="str">
        <f ca="1">+WORLDCUP!BD59</f>
        <v>Switzerland</v>
      </c>
      <c r="F122" s="9" t="str">
        <f ca="1">+WORLDCUP!BD61</f>
        <v>Australia</v>
      </c>
      <c r="G122" s="9" t="str">
        <f ca="1">+WORLDCUP!BD67</f>
        <v>Algeria</v>
      </c>
      <c r="H122" s="9" t="str">
        <f ca="1">+WORLDCUP!BD63</f>
        <v>Tunisia</v>
      </c>
      <c r="I122" s="9" t="str">
        <f ca="1">+WORLDCUP!BD69</f>
        <v>Croatia</v>
      </c>
      <c r="J122" s="9" t="str">
        <f ca="1">+WORLDCUP!BD68</f>
        <v>DR Congo</v>
      </c>
      <c r="N122" s="16" t="s">
        <v>913</v>
      </c>
      <c r="O122" s="16">
        <v>121</v>
      </c>
      <c r="P122" s="16" t="s">
        <v>95</v>
      </c>
      <c r="Q122" s="16" t="s">
        <v>113</v>
      </c>
      <c r="R122" s="16" t="s">
        <v>91</v>
      </c>
      <c r="S122" s="16" t="s">
        <v>100</v>
      </c>
      <c r="T122" s="16" t="s">
        <v>127</v>
      </c>
      <c r="U122" s="16" t="s">
        <v>109</v>
      </c>
      <c r="V122" s="16" t="s">
        <v>136</v>
      </c>
      <c r="W122" s="16" t="s">
        <v>131</v>
      </c>
    </row>
    <row r="123" spans="1:23">
      <c r="A123" s="9" t="s">
        <v>914</v>
      </c>
      <c r="B123" s="9">
        <f ca="1">+IF(A123=WORLDCUP!$BI$112,1,0)</f>
        <v>0</v>
      </c>
      <c r="C123" s="9" t="str">
        <f ca="1">+WORLDCUP!BD60</f>
        <v>Scotland</v>
      </c>
      <c r="D123" s="9" t="str">
        <f ca="1">+WORLDCUP!BD64</f>
        <v>Egypt</v>
      </c>
      <c r="E123" s="9" t="str">
        <f ca="1">+WORLDCUP!BD59</f>
        <v>Switzerland</v>
      </c>
      <c r="F123" s="9" t="str">
        <f ca="1">+WORLDCUP!BD61</f>
        <v>Australia</v>
      </c>
      <c r="G123" s="9" t="str">
        <f ca="1">+WORLDCUP!BD66</f>
        <v>Norway</v>
      </c>
      <c r="H123" s="9" t="str">
        <f ca="1">+WORLDCUP!BD63</f>
        <v>Tunisia</v>
      </c>
      <c r="I123" s="9" t="str">
        <f ca="1">+WORLDCUP!BD69</f>
        <v>Croatia</v>
      </c>
      <c r="J123" s="9" t="str">
        <f ca="1">+WORLDCUP!BD68</f>
        <v>DR Congo</v>
      </c>
      <c r="N123" s="16" t="s">
        <v>914</v>
      </c>
      <c r="O123" s="16">
        <v>122</v>
      </c>
      <c r="P123" s="16" t="s">
        <v>95</v>
      </c>
      <c r="Q123" s="16" t="s">
        <v>113</v>
      </c>
      <c r="R123" s="16" t="s">
        <v>91</v>
      </c>
      <c r="S123" s="16" t="s">
        <v>100</v>
      </c>
      <c r="T123" s="16" t="s">
        <v>122</v>
      </c>
      <c r="U123" s="16" t="s">
        <v>109</v>
      </c>
      <c r="V123" s="16" t="s">
        <v>136</v>
      </c>
      <c r="W123" s="16" t="s">
        <v>131</v>
      </c>
    </row>
    <row r="124" spans="1:23">
      <c r="A124" s="9" t="s">
        <v>915</v>
      </c>
      <c r="B124" s="9">
        <f ca="1">+IF(A124=WORLDCUP!$BI$112,1,0)</f>
        <v>0</v>
      </c>
      <c r="C124" s="9" t="str">
        <f ca="1">+WORLDCUP!BD60</f>
        <v>Scotland</v>
      </c>
      <c r="D124" s="9" t="str">
        <f ca="1">+WORLDCUP!BD64</f>
        <v>Egypt</v>
      </c>
      <c r="E124" s="9" t="str">
        <f ca="1">+WORLDCUP!BD59</f>
        <v>Switzerland</v>
      </c>
      <c r="F124" s="9" t="str">
        <f ca="1">+WORLDCUP!BD61</f>
        <v>Australia</v>
      </c>
      <c r="G124" s="9" t="str">
        <f ca="1">+WORLDCUP!BD67</f>
        <v>Algeria</v>
      </c>
      <c r="H124" s="9" t="str">
        <f ca="1">+WORLDCUP!BD63</f>
        <v>Tunisia</v>
      </c>
      <c r="I124" s="9" t="str">
        <f ca="1">+WORLDCUP!BD69</f>
        <v>Croatia</v>
      </c>
      <c r="J124" s="9" t="str">
        <f ca="1">+WORLDCUP!BD66</f>
        <v>Norway</v>
      </c>
      <c r="N124" s="16" t="s">
        <v>915</v>
      </c>
      <c r="O124" s="16">
        <v>123</v>
      </c>
      <c r="P124" s="16" t="s">
        <v>95</v>
      </c>
      <c r="Q124" s="16" t="s">
        <v>113</v>
      </c>
      <c r="R124" s="16" t="s">
        <v>91</v>
      </c>
      <c r="S124" s="16" t="s">
        <v>100</v>
      </c>
      <c r="T124" s="16" t="s">
        <v>127</v>
      </c>
      <c r="U124" s="16" t="s">
        <v>109</v>
      </c>
      <c r="V124" s="16" t="s">
        <v>136</v>
      </c>
      <c r="W124" s="16" t="s">
        <v>122</v>
      </c>
    </row>
    <row r="125" spans="1:23">
      <c r="A125" s="9" t="s">
        <v>916</v>
      </c>
      <c r="B125" s="9">
        <f ca="1">+IF(A125=WORLDCUP!$BI$112,1,0)</f>
        <v>0</v>
      </c>
      <c r="C125" s="9" t="str">
        <f ca="1">+WORLDCUP!BD60</f>
        <v>Scotland</v>
      </c>
      <c r="D125" s="9" t="str">
        <f ca="1">+WORLDCUP!BD64</f>
        <v>Egypt</v>
      </c>
      <c r="E125" s="9" t="str">
        <f ca="1">+WORLDCUP!BD59</f>
        <v>Switzerland</v>
      </c>
      <c r="F125" s="9" t="str">
        <f ca="1">+WORLDCUP!BD61</f>
        <v>Australia</v>
      </c>
      <c r="G125" s="9" t="str">
        <f ca="1">+WORLDCUP!BD67</f>
        <v>Algeria</v>
      </c>
      <c r="H125" s="9" t="str">
        <f ca="1">+WORLDCUP!BD63</f>
        <v>Tunisia</v>
      </c>
      <c r="I125" s="9" t="str">
        <f ca="1">+WORLDCUP!BD66</f>
        <v>Norway</v>
      </c>
      <c r="J125" s="9" t="str">
        <f ca="1">+WORLDCUP!BD68</f>
        <v>DR Congo</v>
      </c>
      <c r="N125" s="16" t="s">
        <v>916</v>
      </c>
      <c r="O125" s="16">
        <v>124</v>
      </c>
      <c r="P125" s="16" t="s">
        <v>95</v>
      </c>
      <c r="Q125" s="16" t="s">
        <v>113</v>
      </c>
      <c r="R125" s="16" t="s">
        <v>91</v>
      </c>
      <c r="S125" s="16" t="s">
        <v>100</v>
      </c>
      <c r="T125" s="16" t="s">
        <v>127</v>
      </c>
      <c r="U125" s="16" t="s">
        <v>109</v>
      </c>
      <c r="V125" s="16" t="s">
        <v>122</v>
      </c>
      <c r="W125" s="16" t="s">
        <v>131</v>
      </c>
    </row>
    <row r="126" spans="1:23">
      <c r="A126" s="9" t="s">
        <v>917</v>
      </c>
      <c r="B126" s="9">
        <f ca="1">+IF(A126=WORLDCUP!$BI$112,1,0)</f>
        <v>0</v>
      </c>
      <c r="C126" s="9" t="str">
        <f ca="1">+WORLDCUP!BD60</f>
        <v>Scotland</v>
      </c>
      <c r="D126" s="9" t="str">
        <f ca="1">+WORLDCUP!BD64</f>
        <v>Egypt</v>
      </c>
      <c r="E126" s="9" t="str">
        <f ca="1">+WORLDCUP!BD59</f>
        <v>Switzerland</v>
      </c>
      <c r="F126" s="9" t="str">
        <f ca="1">+WORLDCUP!BD61</f>
        <v>Australia</v>
      </c>
      <c r="G126" s="9" t="str">
        <f ca="1">+WORLDCUP!BD65</f>
        <v>Saudi Arabia</v>
      </c>
      <c r="H126" s="9" t="str">
        <f ca="1">+WORLDCUP!BD63</f>
        <v>Tunisia</v>
      </c>
      <c r="I126" s="9" t="str">
        <f ca="1">+WORLDCUP!BD69</f>
        <v>Croatia</v>
      </c>
      <c r="J126" s="9" t="str">
        <f ca="1">+WORLDCUP!BD68</f>
        <v>DR Congo</v>
      </c>
      <c r="N126" s="16" t="s">
        <v>917</v>
      </c>
      <c r="O126" s="16">
        <v>125</v>
      </c>
      <c r="P126" s="16" t="s">
        <v>95</v>
      </c>
      <c r="Q126" s="16" t="s">
        <v>113</v>
      </c>
      <c r="R126" s="16" t="s">
        <v>91</v>
      </c>
      <c r="S126" s="16" t="s">
        <v>100</v>
      </c>
      <c r="T126" s="16" t="s">
        <v>118</v>
      </c>
      <c r="U126" s="16" t="s">
        <v>109</v>
      </c>
      <c r="V126" s="16" t="s">
        <v>136</v>
      </c>
      <c r="W126" s="16" t="s">
        <v>131</v>
      </c>
    </row>
    <row r="127" spans="1:23">
      <c r="A127" s="9" t="s">
        <v>918</v>
      </c>
      <c r="B127" s="9">
        <f ca="1">+IF(A127=WORLDCUP!$BI$112,1,0)</f>
        <v>0</v>
      </c>
      <c r="C127" s="9" t="str">
        <f ca="1">+WORLDCUP!BD60</f>
        <v>Scotland</v>
      </c>
      <c r="D127" s="9" t="str">
        <f ca="1">+WORLDCUP!BD64</f>
        <v>Egypt</v>
      </c>
      <c r="E127" s="9" t="str">
        <f ca="1">+WORLDCUP!BD59</f>
        <v>Switzerland</v>
      </c>
      <c r="F127" s="9" t="str">
        <f ca="1">+WORLDCUP!BD61</f>
        <v>Australia</v>
      </c>
      <c r="G127" s="9" t="str">
        <f ca="1">+WORLDCUP!BD65</f>
        <v>Saudi Arabia</v>
      </c>
      <c r="H127" s="9" t="str">
        <f ca="1">+WORLDCUP!BD63</f>
        <v>Tunisia</v>
      </c>
      <c r="I127" s="9" t="str">
        <f ca="1">+WORLDCUP!BD69</f>
        <v>Croatia</v>
      </c>
      <c r="J127" s="9" t="str">
        <f ca="1">+WORLDCUP!BD67</f>
        <v>Algeria</v>
      </c>
      <c r="N127" s="16" t="s">
        <v>918</v>
      </c>
      <c r="O127" s="16">
        <v>126</v>
      </c>
      <c r="P127" s="16" t="s">
        <v>95</v>
      </c>
      <c r="Q127" s="16" t="s">
        <v>113</v>
      </c>
      <c r="R127" s="16" t="s">
        <v>91</v>
      </c>
      <c r="S127" s="16" t="s">
        <v>100</v>
      </c>
      <c r="T127" s="16" t="s">
        <v>118</v>
      </c>
      <c r="U127" s="16" t="s">
        <v>109</v>
      </c>
      <c r="V127" s="16" t="s">
        <v>136</v>
      </c>
      <c r="W127" s="16" t="s">
        <v>127</v>
      </c>
    </row>
    <row r="128" spans="1:23">
      <c r="A128" s="9" t="s">
        <v>919</v>
      </c>
      <c r="B128" s="9">
        <f ca="1">+IF(A128=WORLDCUP!$BI$112,1,0)</f>
        <v>0</v>
      </c>
      <c r="C128" s="9" t="str">
        <f ca="1">+WORLDCUP!BD65</f>
        <v>Saudi Arabia</v>
      </c>
      <c r="D128" s="9" t="str">
        <f ca="1">+WORLDCUP!BD64</f>
        <v>Egypt</v>
      </c>
      <c r="E128" s="9" t="str">
        <f ca="1">+WORLDCUP!BD59</f>
        <v>Switzerland</v>
      </c>
      <c r="F128" s="9" t="str">
        <f ca="1">+WORLDCUP!BD60</f>
        <v>Scotland</v>
      </c>
      <c r="G128" s="9" t="str">
        <f ca="1">+WORLDCUP!BD67</f>
        <v>Algeria</v>
      </c>
      <c r="H128" s="9" t="str">
        <f ca="1">+WORLDCUP!BD63</f>
        <v>Tunisia</v>
      </c>
      <c r="I128" s="9" t="str">
        <f ca="1">+WORLDCUP!BD61</f>
        <v>Australia</v>
      </c>
      <c r="J128" s="9" t="str">
        <f ca="1">+WORLDCUP!BD68</f>
        <v>DR Congo</v>
      </c>
      <c r="N128" s="16" t="s">
        <v>919</v>
      </c>
      <c r="O128" s="16">
        <v>127</v>
      </c>
      <c r="P128" s="16" t="s">
        <v>118</v>
      </c>
      <c r="Q128" s="16" t="s">
        <v>113</v>
      </c>
      <c r="R128" s="16" t="s">
        <v>91</v>
      </c>
      <c r="S128" s="16" t="s">
        <v>95</v>
      </c>
      <c r="T128" s="16" t="s">
        <v>127</v>
      </c>
      <c r="U128" s="16" t="s">
        <v>109</v>
      </c>
      <c r="V128" s="16" t="s">
        <v>100</v>
      </c>
      <c r="W128" s="16" t="s">
        <v>131</v>
      </c>
    </row>
    <row r="129" spans="1:23">
      <c r="A129" s="9" t="s">
        <v>920</v>
      </c>
      <c r="B129" s="9">
        <f ca="1">+IF(A129=WORLDCUP!$BI$112,1,0)</f>
        <v>0</v>
      </c>
      <c r="C129" s="9" t="str">
        <f ca="1">+WORLDCUP!BD60</f>
        <v>Scotland</v>
      </c>
      <c r="D129" s="9" t="str">
        <f ca="1">+WORLDCUP!BD64</f>
        <v>Egypt</v>
      </c>
      <c r="E129" s="9" t="str">
        <f ca="1">+WORLDCUP!BD59</f>
        <v>Switzerland</v>
      </c>
      <c r="F129" s="9" t="str">
        <f ca="1">+WORLDCUP!BD61</f>
        <v>Australia</v>
      </c>
      <c r="G129" s="9" t="str">
        <f ca="1">+WORLDCUP!BD65</f>
        <v>Saudi Arabia</v>
      </c>
      <c r="H129" s="9" t="str">
        <f ca="1">+WORLDCUP!BD63</f>
        <v>Tunisia</v>
      </c>
      <c r="I129" s="9" t="str">
        <f ca="1">+WORLDCUP!BD69</f>
        <v>Croatia</v>
      </c>
      <c r="J129" s="9" t="str">
        <f ca="1">+WORLDCUP!BD66</f>
        <v>Norway</v>
      </c>
      <c r="N129" s="16" t="s">
        <v>920</v>
      </c>
      <c r="O129" s="16">
        <v>128</v>
      </c>
      <c r="P129" s="16" t="s">
        <v>95</v>
      </c>
      <c r="Q129" s="16" t="s">
        <v>113</v>
      </c>
      <c r="R129" s="16" t="s">
        <v>91</v>
      </c>
      <c r="S129" s="16" t="s">
        <v>100</v>
      </c>
      <c r="T129" s="16" t="s">
        <v>118</v>
      </c>
      <c r="U129" s="16" t="s">
        <v>109</v>
      </c>
      <c r="V129" s="16" t="s">
        <v>136</v>
      </c>
      <c r="W129" s="16" t="s">
        <v>122</v>
      </c>
    </row>
    <row r="130" spans="1:23">
      <c r="A130" s="9" t="s">
        <v>921</v>
      </c>
      <c r="B130" s="9">
        <f ca="1">+IF(A130=WORLDCUP!$BI$112,1,0)</f>
        <v>0</v>
      </c>
      <c r="C130" s="9" t="str">
        <f ca="1">+WORLDCUP!BD60</f>
        <v>Scotland</v>
      </c>
      <c r="D130" s="9" t="str">
        <f ca="1">+WORLDCUP!BD64</f>
        <v>Egypt</v>
      </c>
      <c r="E130" s="9" t="str">
        <f ca="1">+WORLDCUP!BD59</f>
        <v>Switzerland</v>
      </c>
      <c r="F130" s="9" t="str">
        <f ca="1">+WORLDCUP!BD61</f>
        <v>Australia</v>
      </c>
      <c r="G130" s="9" t="str">
        <f ca="1">+WORLDCUP!BD65</f>
        <v>Saudi Arabia</v>
      </c>
      <c r="H130" s="9" t="str">
        <f ca="1">+WORLDCUP!BD63</f>
        <v>Tunisia</v>
      </c>
      <c r="I130" s="9" t="str">
        <f ca="1">+WORLDCUP!BD66</f>
        <v>Norway</v>
      </c>
      <c r="J130" s="9" t="str">
        <f ca="1">+WORLDCUP!BD68</f>
        <v>DR Congo</v>
      </c>
      <c r="N130" s="16" t="s">
        <v>921</v>
      </c>
      <c r="O130" s="16">
        <v>129</v>
      </c>
      <c r="P130" s="16" t="s">
        <v>95</v>
      </c>
      <c r="Q130" s="16" t="s">
        <v>113</v>
      </c>
      <c r="R130" s="16" t="s">
        <v>91</v>
      </c>
      <c r="S130" s="16" t="s">
        <v>100</v>
      </c>
      <c r="T130" s="16" t="s">
        <v>118</v>
      </c>
      <c r="U130" s="16" t="s">
        <v>109</v>
      </c>
      <c r="V130" s="16" t="s">
        <v>122</v>
      </c>
      <c r="W130" s="16" t="s">
        <v>131</v>
      </c>
    </row>
    <row r="131" spans="1:23">
      <c r="A131" s="9" t="s">
        <v>922</v>
      </c>
      <c r="B131" s="9">
        <f ca="1">+IF(A131=WORLDCUP!$BI$112,1,0)</f>
        <v>0</v>
      </c>
      <c r="C131" s="9" t="str">
        <f ca="1">+WORLDCUP!BD65</f>
        <v>Saudi Arabia</v>
      </c>
      <c r="D131" s="9" t="str">
        <f ca="1">+WORLDCUP!BD64</f>
        <v>Egypt</v>
      </c>
      <c r="E131" s="9" t="str">
        <f ca="1">+WORLDCUP!BD59</f>
        <v>Switzerland</v>
      </c>
      <c r="F131" s="9" t="str">
        <f ca="1">+WORLDCUP!BD60</f>
        <v>Scotland</v>
      </c>
      <c r="G131" s="9" t="str">
        <f ca="1">+WORLDCUP!BD67</f>
        <v>Algeria</v>
      </c>
      <c r="H131" s="9" t="str">
        <f ca="1">+WORLDCUP!BD63</f>
        <v>Tunisia</v>
      </c>
      <c r="I131" s="9" t="str">
        <f ca="1">+WORLDCUP!BD61</f>
        <v>Australia</v>
      </c>
      <c r="J131" s="9" t="str">
        <f ca="1">+WORLDCUP!BD66</f>
        <v>Norway</v>
      </c>
      <c r="N131" s="16" t="s">
        <v>922</v>
      </c>
      <c r="O131" s="16">
        <v>130</v>
      </c>
      <c r="P131" s="16" t="s">
        <v>118</v>
      </c>
      <c r="Q131" s="16" t="s">
        <v>113</v>
      </c>
      <c r="R131" s="16" t="s">
        <v>91</v>
      </c>
      <c r="S131" s="16" t="s">
        <v>95</v>
      </c>
      <c r="T131" s="16" t="s">
        <v>127</v>
      </c>
      <c r="U131" s="16" t="s">
        <v>109</v>
      </c>
      <c r="V131" s="16" t="s">
        <v>100</v>
      </c>
      <c r="W131" s="16" t="s">
        <v>122</v>
      </c>
    </row>
    <row r="132" spans="1:23">
      <c r="A132" s="9" t="s">
        <v>923</v>
      </c>
      <c r="B132" s="9">
        <f ca="1">+IF(A132=WORLDCUP!$BI$112,1,0)</f>
        <v>0</v>
      </c>
      <c r="C132" s="9" t="str">
        <f ca="1">+WORLDCUP!BD62</f>
        <v>Ivory Coast</v>
      </c>
      <c r="D132" s="9" t="str">
        <f ca="1">+WORLDCUP!BD67</f>
        <v>Algeria</v>
      </c>
      <c r="E132" s="9" t="str">
        <f ca="1">+WORLDCUP!BD59</f>
        <v>Switzerland</v>
      </c>
      <c r="F132" s="9" t="str">
        <f ca="1">+WORLDCUP!BD60</f>
        <v>Scotland</v>
      </c>
      <c r="G132" s="9" t="str">
        <f ca="1">+WORLDCUP!BD66</f>
        <v>Norway</v>
      </c>
      <c r="H132" s="9" t="str">
        <f ca="1">+WORLDCUP!BD61</f>
        <v>Australia</v>
      </c>
      <c r="I132" s="9" t="str">
        <f ca="1">+WORLDCUP!BD69</f>
        <v>Croatia</v>
      </c>
      <c r="J132" s="9" t="str">
        <f ca="1">+WORLDCUP!BD68</f>
        <v>DR Congo</v>
      </c>
      <c r="N132" s="16" t="s">
        <v>923</v>
      </c>
      <c r="O132" s="16">
        <v>131</v>
      </c>
      <c r="P132" s="16" t="s">
        <v>104</v>
      </c>
      <c r="Q132" s="16" t="s">
        <v>127</v>
      </c>
      <c r="R132" s="16" t="s">
        <v>91</v>
      </c>
      <c r="S132" s="16" t="s">
        <v>95</v>
      </c>
      <c r="T132" s="16" t="s">
        <v>122</v>
      </c>
      <c r="U132" s="16" t="s">
        <v>100</v>
      </c>
      <c r="V132" s="16" t="s">
        <v>136</v>
      </c>
      <c r="W132" s="16" t="s">
        <v>131</v>
      </c>
    </row>
    <row r="133" spans="1:23">
      <c r="A133" s="9" t="s">
        <v>924</v>
      </c>
      <c r="B133" s="9">
        <f ca="1">+IF(A133=WORLDCUP!$BI$112,1,0)</f>
        <v>0</v>
      </c>
      <c r="C133" s="9" t="str">
        <f ca="1">+WORLDCUP!BD62</f>
        <v>Ivory Coast</v>
      </c>
      <c r="D133" s="9" t="str">
        <f ca="1">+WORLDCUP!BD67</f>
        <v>Algeria</v>
      </c>
      <c r="E133" s="9" t="str">
        <f ca="1">+WORLDCUP!BD59</f>
        <v>Switzerland</v>
      </c>
      <c r="F133" s="9" t="str">
        <f ca="1">+WORLDCUP!BD60</f>
        <v>Scotland</v>
      </c>
      <c r="G133" s="9" t="str">
        <f ca="1">+WORLDCUP!BD65</f>
        <v>Saudi Arabia</v>
      </c>
      <c r="H133" s="9" t="str">
        <f ca="1">+WORLDCUP!BD61</f>
        <v>Australia</v>
      </c>
      <c r="I133" s="9" t="str">
        <f ca="1">+WORLDCUP!BD69</f>
        <v>Croatia</v>
      </c>
      <c r="J133" s="9" t="str">
        <f ca="1">+WORLDCUP!BD68</f>
        <v>DR Congo</v>
      </c>
      <c r="N133" s="16" t="s">
        <v>924</v>
      </c>
      <c r="O133" s="16">
        <v>132</v>
      </c>
      <c r="P133" s="16" t="s">
        <v>104</v>
      </c>
      <c r="Q133" s="16" t="s">
        <v>127</v>
      </c>
      <c r="R133" s="16" t="s">
        <v>91</v>
      </c>
      <c r="S133" s="16" t="s">
        <v>95</v>
      </c>
      <c r="T133" s="16" t="s">
        <v>118</v>
      </c>
      <c r="U133" s="16" t="s">
        <v>100</v>
      </c>
      <c r="V133" s="16" t="s">
        <v>136</v>
      </c>
      <c r="W133" s="16" t="s">
        <v>131</v>
      </c>
    </row>
    <row r="134" spans="1:23">
      <c r="A134" s="9" t="s">
        <v>925</v>
      </c>
      <c r="B134" s="9">
        <f ca="1">+IF(A134=WORLDCUP!$BI$112,1,0)</f>
        <v>0</v>
      </c>
      <c r="C134" s="9" t="str">
        <f ca="1">+WORLDCUP!BD62</f>
        <v>Ivory Coast</v>
      </c>
      <c r="D134" s="9" t="str">
        <f ca="1">+WORLDCUP!BD66</f>
        <v>Norway</v>
      </c>
      <c r="E134" s="9" t="str">
        <f ca="1">+WORLDCUP!BD59</f>
        <v>Switzerland</v>
      </c>
      <c r="F134" s="9" t="str">
        <f ca="1">+WORLDCUP!BD60</f>
        <v>Scotland</v>
      </c>
      <c r="G134" s="9" t="str">
        <f ca="1">+WORLDCUP!BD65</f>
        <v>Saudi Arabia</v>
      </c>
      <c r="H134" s="9" t="str">
        <f ca="1">+WORLDCUP!BD61</f>
        <v>Australia</v>
      </c>
      <c r="I134" s="9" t="str">
        <f ca="1">+WORLDCUP!BD69</f>
        <v>Croatia</v>
      </c>
      <c r="J134" s="9" t="str">
        <f ca="1">+WORLDCUP!BD68</f>
        <v>DR Congo</v>
      </c>
      <c r="N134" s="16" t="s">
        <v>925</v>
      </c>
      <c r="O134" s="16">
        <v>133</v>
      </c>
      <c r="P134" s="16" t="s">
        <v>104</v>
      </c>
      <c r="Q134" s="16" t="s">
        <v>122</v>
      </c>
      <c r="R134" s="16" t="s">
        <v>91</v>
      </c>
      <c r="S134" s="16" t="s">
        <v>95</v>
      </c>
      <c r="T134" s="16" t="s">
        <v>118</v>
      </c>
      <c r="U134" s="16" t="s">
        <v>100</v>
      </c>
      <c r="V134" s="16" t="s">
        <v>136</v>
      </c>
      <c r="W134" s="16" t="s">
        <v>131</v>
      </c>
    </row>
    <row r="135" spans="1:23">
      <c r="A135" s="9" t="s">
        <v>926</v>
      </c>
      <c r="B135" s="9">
        <f ca="1">+IF(A135=WORLDCUP!$BI$112,1,0)</f>
        <v>0</v>
      </c>
      <c r="C135" s="9" t="str">
        <f ca="1">+WORLDCUP!BD62</f>
        <v>Ivory Coast</v>
      </c>
      <c r="D135" s="9" t="str">
        <f ca="1">+WORLDCUP!BD67</f>
        <v>Algeria</v>
      </c>
      <c r="E135" s="9" t="str">
        <f ca="1">+WORLDCUP!BD59</f>
        <v>Switzerland</v>
      </c>
      <c r="F135" s="9" t="str">
        <f ca="1">+WORLDCUP!BD60</f>
        <v>Scotland</v>
      </c>
      <c r="G135" s="9" t="str">
        <f ca="1">+WORLDCUP!BD65</f>
        <v>Saudi Arabia</v>
      </c>
      <c r="H135" s="9" t="str">
        <f ca="1">+WORLDCUP!BD61</f>
        <v>Australia</v>
      </c>
      <c r="I135" s="9" t="str">
        <f ca="1">+WORLDCUP!BD69</f>
        <v>Croatia</v>
      </c>
      <c r="J135" s="9" t="str">
        <f ca="1">+WORLDCUP!BD66</f>
        <v>Norway</v>
      </c>
      <c r="N135" s="16" t="s">
        <v>926</v>
      </c>
      <c r="O135" s="16">
        <v>134</v>
      </c>
      <c r="P135" s="16" t="s">
        <v>104</v>
      </c>
      <c r="Q135" s="16" t="s">
        <v>127</v>
      </c>
      <c r="R135" s="16" t="s">
        <v>91</v>
      </c>
      <c r="S135" s="16" t="s">
        <v>95</v>
      </c>
      <c r="T135" s="16" t="s">
        <v>118</v>
      </c>
      <c r="U135" s="16" t="s">
        <v>100</v>
      </c>
      <c r="V135" s="16" t="s">
        <v>136</v>
      </c>
      <c r="W135" s="16" t="s">
        <v>122</v>
      </c>
    </row>
    <row r="136" spans="1:23">
      <c r="A136" s="9" t="s">
        <v>927</v>
      </c>
      <c r="B136" s="9">
        <f ca="1">+IF(A136=WORLDCUP!$BI$112,1,0)</f>
        <v>0</v>
      </c>
      <c r="C136" s="9" t="str">
        <f ca="1">+WORLDCUP!BD62</f>
        <v>Ivory Coast</v>
      </c>
      <c r="D136" s="9" t="str">
        <f ca="1">+WORLDCUP!BD67</f>
        <v>Algeria</v>
      </c>
      <c r="E136" s="9" t="str">
        <f ca="1">+WORLDCUP!BD59</f>
        <v>Switzerland</v>
      </c>
      <c r="F136" s="9" t="str">
        <f ca="1">+WORLDCUP!BD60</f>
        <v>Scotland</v>
      </c>
      <c r="G136" s="9" t="str">
        <f ca="1">+WORLDCUP!BD65</f>
        <v>Saudi Arabia</v>
      </c>
      <c r="H136" s="9" t="str">
        <f ca="1">+WORLDCUP!BD61</f>
        <v>Australia</v>
      </c>
      <c r="I136" s="9" t="str">
        <f ca="1">+WORLDCUP!BD66</f>
        <v>Norway</v>
      </c>
      <c r="J136" s="9" t="str">
        <f ca="1">+WORLDCUP!BD68</f>
        <v>DR Congo</v>
      </c>
      <c r="N136" s="16" t="s">
        <v>927</v>
      </c>
      <c r="O136" s="16">
        <v>135</v>
      </c>
      <c r="P136" s="16" t="s">
        <v>104</v>
      </c>
      <c r="Q136" s="16" t="s">
        <v>127</v>
      </c>
      <c r="R136" s="16" t="s">
        <v>91</v>
      </c>
      <c r="S136" s="16" t="s">
        <v>95</v>
      </c>
      <c r="T136" s="16" t="s">
        <v>118</v>
      </c>
      <c r="U136" s="16" t="s">
        <v>100</v>
      </c>
      <c r="V136" s="16" t="s">
        <v>122</v>
      </c>
      <c r="W136" s="16" t="s">
        <v>131</v>
      </c>
    </row>
    <row r="137" spans="1:23">
      <c r="A137" s="9" t="s">
        <v>928</v>
      </c>
      <c r="B137" s="9">
        <f ca="1">+IF(A137=WORLDCUP!$BI$112,1,0)</f>
        <v>0</v>
      </c>
      <c r="C137" s="9" t="str">
        <f ca="1">+WORLDCUP!BD62</f>
        <v>Ivory Coast</v>
      </c>
      <c r="D137" s="9" t="str">
        <f ca="1">+WORLDCUP!BD64</f>
        <v>Egypt</v>
      </c>
      <c r="E137" s="9" t="str">
        <f ca="1">+WORLDCUP!BD59</f>
        <v>Switzerland</v>
      </c>
      <c r="F137" s="9" t="str">
        <f ca="1">+WORLDCUP!BD60</f>
        <v>Scotland</v>
      </c>
      <c r="G137" s="9" t="str">
        <f ca="1">+WORLDCUP!BD67</f>
        <v>Algeria</v>
      </c>
      <c r="H137" s="9" t="str">
        <f ca="1">+WORLDCUP!BD61</f>
        <v>Australia</v>
      </c>
      <c r="I137" s="9" t="str">
        <f ca="1">+WORLDCUP!BD69</f>
        <v>Croatia</v>
      </c>
      <c r="J137" s="9" t="str">
        <f ca="1">+WORLDCUP!BD68</f>
        <v>DR Congo</v>
      </c>
      <c r="N137" s="16" t="s">
        <v>928</v>
      </c>
      <c r="O137" s="16">
        <v>136</v>
      </c>
      <c r="P137" s="16" t="s">
        <v>104</v>
      </c>
      <c r="Q137" s="16" t="s">
        <v>113</v>
      </c>
      <c r="R137" s="16" t="s">
        <v>91</v>
      </c>
      <c r="S137" s="16" t="s">
        <v>95</v>
      </c>
      <c r="T137" s="16" t="s">
        <v>127</v>
      </c>
      <c r="U137" s="16" t="s">
        <v>100</v>
      </c>
      <c r="V137" s="16" t="s">
        <v>136</v>
      </c>
      <c r="W137" s="16" t="s">
        <v>131</v>
      </c>
    </row>
    <row r="138" spans="1:23">
      <c r="A138" s="9" t="s">
        <v>929</v>
      </c>
      <c r="B138" s="9">
        <f ca="1">+IF(A138=WORLDCUP!$BI$112,1,0)</f>
        <v>0</v>
      </c>
      <c r="C138" s="9" t="str">
        <f ca="1">+WORLDCUP!BD62</f>
        <v>Ivory Coast</v>
      </c>
      <c r="D138" s="9" t="str">
        <f ca="1">+WORLDCUP!BD64</f>
        <v>Egypt</v>
      </c>
      <c r="E138" s="9" t="str">
        <f ca="1">+WORLDCUP!BD59</f>
        <v>Switzerland</v>
      </c>
      <c r="F138" s="9" t="str">
        <f ca="1">+WORLDCUP!BD60</f>
        <v>Scotland</v>
      </c>
      <c r="G138" s="9" t="str">
        <f ca="1">+WORLDCUP!BD66</f>
        <v>Norway</v>
      </c>
      <c r="H138" s="9" t="str">
        <f ca="1">+WORLDCUP!BD61</f>
        <v>Australia</v>
      </c>
      <c r="I138" s="9" t="str">
        <f ca="1">+WORLDCUP!BD69</f>
        <v>Croatia</v>
      </c>
      <c r="J138" s="9" t="str">
        <f ca="1">+WORLDCUP!BD68</f>
        <v>DR Congo</v>
      </c>
      <c r="N138" s="16" t="s">
        <v>929</v>
      </c>
      <c r="O138" s="16">
        <v>137</v>
      </c>
      <c r="P138" s="16" t="s">
        <v>104</v>
      </c>
      <c r="Q138" s="16" t="s">
        <v>113</v>
      </c>
      <c r="R138" s="16" t="s">
        <v>91</v>
      </c>
      <c r="S138" s="16" t="s">
        <v>95</v>
      </c>
      <c r="T138" s="16" t="s">
        <v>122</v>
      </c>
      <c r="U138" s="16" t="s">
        <v>100</v>
      </c>
      <c r="V138" s="16" t="s">
        <v>136</v>
      </c>
      <c r="W138" s="16" t="s">
        <v>131</v>
      </c>
    </row>
    <row r="139" spans="1:23">
      <c r="A139" s="9" t="s">
        <v>930</v>
      </c>
      <c r="B139" s="9">
        <f ca="1">+IF(A139=WORLDCUP!$BI$112,1,0)</f>
        <v>0</v>
      </c>
      <c r="C139" s="9" t="str">
        <f ca="1">+WORLDCUP!BD62</f>
        <v>Ivory Coast</v>
      </c>
      <c r="D139" s="9" t="str">
        <f ca="1">+WORLDCUP!BD64</f>
        <v>Egypt</v>
      </c>
      <c r="E139" s="9" t="str">
        <f ca="1">+WORLDCUP!BD59</f>
        <v>Switzerland</v>
      </c>
      <c r="F139" s="9" t="str">
        <f ca="1">+WORLDCUP!BD60</f>
        <v>Scotland</v>
      </c>
      <c r="G139" s="9" t="str">
        <f ca="1">+WORLDCUP!BD67</f>
        <v>Algeria</v>
      </c>
      <c r="H139" s="9" t="str">
        <f ca="1">+WORLDCUP!BD61</f>
        <v>Australia</v>
      </c>
      <c r="I139" s="9" t="str">
        <f ca="1">+WORLDCUP!BD69</f>
        <v>Croatia</v>
      </c>
      <c r="J139" s="9" t="str">
        <f ca="1">+WORLDCUP!BD66</f>
        <v>Norway</v>
      </c>
      <c r="N139" s="16" t="s">
        <v>930</v>
      </c>
      <c r="O139" s="16">
        <v>138</v>
      </c>
      <c r="P139" s="16" t="s">
        <v>104</v>
      </c>
      <c r="Q139" s="16" t="s">
        <v>113</v>
      </c>
      <c r="R139" s="16" t="s">
        <v>91</v>
      </c>
      <c r="S139" s="16" t="s">
        <v>95</v>
      </c>
      <c r="T139" s="16" t="s">
        <v>127</v>
      </c>
      <c r="U139" s="16" t="s">
        <v>100</v>
      </c>
      <c r="V139" s="16" t="s">
        <v>136</v>
      </c>
      <c r="W139" s="16" t="s">
        <v>122</v>
      </c>
    </row>
    <row r="140" spans="1:23">
      <c r="A140" s="9" t="s">
        <v>931</v>
      </c>
      <c r="B140" s="9">
        <f ca="1">+IF(A140=WORLDCUP!$BI$112,1,0)</f>
        <v>0</v>
      </c>
      <c r="C140" s="9" t="str">
        <f ca="1">+WORLDCUP!BD62</f>
        <v>Ivory Coast</v>
      </c>
      <c r="D140" s="9" t="str">
        <f ca="1">+WORLDCUP!BD64</f>
        <v>Egypt</v>
      </c>
      <c r="E140" s="9" t="str">
        <f ca="1">+WORLDCUP!BD59</f>
        <v>Switzerland</v>
      </c>
      <c r="F140" s="9" t="str">
        <f ca="1">+WORLDCUP!BD60</f>
        <v>Scotland</v>
      </c>
      <c r="G140" s="9" t="str">
        <f ca="1">+WORLDCUP!BD67</f>
        <v>Algeria</v>
      </c>
      <c r="H140" s="9" t="str">
        <f ca="1">+WORLDCUP!BD61</f>
        <v>Australia</v>
      </c>
      <c r="I140" s="9" t="str">
        <f ca="1">+WORLDCUP!BD66</f>
        <v>Norway</v>
      </c>
      <c r="J140" s="9" t="str">
        <f ca="1">+WORLDCUP!BD68</f>
        <v>DR Congo</v>
      </c>
      <c r="N140" s="16" t="s">
        <v>931</v>
      </c>
      <c r="O140" s="16">
        <v>139</v>
      </c>
      <c r="P140" s="16" t="s">
        <v>104</v>
      </c>
      <c r="Q140" s="16" t="s">
        <v>113</v>
      </c>
      <c r="R140" s="16" t="s">
        <v>91</v>
      </c>
      <c r="S140" s="16" t="s">
        <v>95</v>
      </c>
      <c r="T140" s="16" t="s">
        <v>127</v>
      </c>
      <c r="U140" s="16" t="s">
        <v>100</v>
      </c>
      <c r="V140" s="16" t="s">
        <v>122</v>
      </c>
      <c r="W140" s="16" t="s">
        <v>131</v>
      </c>
    </row>
    <row r="141" spans="1:23">
      <c r="A141" s="9" t="s">
        <v>932</v>
      </c>
      <c r="B141" s="9">
        <f ca="1">+IF(A141=WORLDCUP!$BI$112,1,0)</f>
        <v>0</v>
      </c>
      <c r="C141" s="9" t="str">
        <f ca="1">+WORLDCUP!BD62</f>
        <v>Ivory Coast</v>
      </c>
      <c r="D141" s="9" t="str">
        <f ca="1">+WORLDCUP!BD64</f>
        <v>Egypt</v>
      </c>
      <c r="E141" s="9" t="str">
        <f ca="1">+WORLDCUP!BD59</f>
        <v>Switzerland</v>
      </c>
      <c r="F141" s="9" t="str">
        <f ca="1">+WORLDCUP!BD60</f>
        <v>Scotland</v>
      </c>
      <c r="G141" s="9" t="str">
        <f ca="1">+WORLDCUP!BD65</f>
        <v>Saudi Arabia</v>
      </c>
      <c r="H141" s="9" t="str">
        <f ca="1">+WORLDCUP!BD61</f>
        <v>Australia</v>
      </c>
      <c r="I141" s="9" t="str">
        <f ca="1">+WORLDCUP!BD69</f>
        <v>Croatia</v>
      </c>
      <c r="J141" s="9" t="str">
        <f ca="1">+WORLDCUP!BD68</f>
        <v>DR Congo</v>
      </c>
      <c r="N141" s="16" t="s">
        <v>932</v>
      </c>
      <c r="O141" s="16">
        <v>140</v>
      </c>
      <c r="P141" s="16" t="s">
        <v>104</v>
      </c>
      <c r="Q141" s="16" t="s">
        <v>113</v>
      </c>
      <c r="R141" s="16" t="s">
        <v>91</v>
      </c>
      <c r="S141" s="16" t="s">
        <v>95</v>
      </c>
      <c r="T141" s="16" t="s">
        <v>118</v>
      </c>
      <c r="U141" s="16" t="s">
        <v>100</v>
      </c>
      <c r="V141" s="16" t="s">
        <v>136</v>
      </c>
      <c r="W141" s="16" t="s">
        <v>131</v>
      </c>
    </row>
    <row r="142" spans="1:23">
      <c r="A142" s="9" t="s">
        <v>933</v>
      </c>
      <c r="B142" s="9">
        <f ca="1">+IF(A142=WORLDCUP!$BI$112,1,0)</f>
        <v>0</v>
      </c>
      <c r="C142" s="9" t="str">
        <f ca="1">+WORLDCUP!BD65</f>
        <v>Saudi Arabia</v>
      </c>
      <c r="D142" s="9" t="str">
        <f ca="1">+WORLDCUP!BD64</f>
        <v>Egypt</v>
      </c>
      <c r="E142" s="9" t="str">
        <f ca="1">+WORLDCUP!BD59</f>
        <v>Switzerland</v>
      </c>
      <c r="F142" s="9" t="str">
        <f ca="1">+WORLDCUP!BD60</f>
        <v>Scotland</v>
      </c>
      <c r="G142" s="9" t="str">
        <f ca="1">+WORLDCUP!BD67</f>
        <v>Algeria</v>
      </c>
      <c r="H142" s="9" t="str">
        <f ca="1">+WORLDCUP!BD61</f>
        <v>Australia</v>
      </c>
      <c r="I142" s="9" t="str">
        <f ca="1">+WORLDCUP!BD69</f>
        <v>Croatia</v>
      </c>
      <c r="J142" s="9" t="str">
        <f ca="1">+WORLDCUP!BD62</f>
        <v>Ivory Coast</v>
      </c>
      <c r="N142" s="16" t="s">
        <v>933</v>
      </c>
      <c r="O142" s="16">
        <v>141</v>
      </c>
      <c r="P142" s="16" t="s">
        <v>118</v>
      </c>
      <c r="Q142" s="16" t="s">
        <v>113</v>
      </c>
      <c r="R142" s="16" t="s">
        <v>91</v>
      </c>
      <c r="S142" s="16" t="s">
        <v>95</v>
      </c>
      <c r="T142" s="16" t="s">
        <v>127</v>
      </c>
      <c r="U142" s="16" t="s">
        <v>100</v>
      </c>
      <c r="V142" s="16" t="s">
        <v>136</v>
      </c>
      <c r="W142" s="16" t="s">
        <v>104</v>
      </c>
    </row>
    <row r="143" spans="1:23">
      <c r="A143" s="9" t="s">
        <v>934</v>
      </c>
      <c r="B143" s="9">
        <f ca="1">+IF(A143=WORLDCUP!$BI$112,1,0)</f>
        <v>0</v>
      </c>
      <c r="C143" s="9" t="str">
        <f ca="1">+WORLDCUP!BD65</f>
        <v>Saudi Arabia</v>
      </c>
      <c r="D143" s="9" t="str">
        <f ca="1">+WORLDCUP!BD64</f>
        <v>Egypt</v>
      </c>
      <c r="E143" s="9" t="str">
        <f ca="1">+WORLDCUP!BD59</f>
        <v>Switzerland</v>
      </c>
      <c r="F143" s="9" t="str">
        <f ca="1">+WORLDCUP!BD60</f>
        <v>Scotland</v>
      </c>
      <c r="G143" s="9" t="str">
        <f ca="1">+WORLDCUP!BD67</f>
        <v>Algeria</v>
      </c>
      <c r="H143" s="9" t="str">
        <f ca="1">+WORLDCUP!BD61</f>
        <v>Australia</v>
      </c>
      <c r="I143" s="9" t="str">
        <f ca="1">+WORLDCUP!BD62</f>
        <v>Ivory Coast</v>
      </c>
      <c r="J143" s="9" t="str">
        <f ca="1">+WORLDCUP!BD68</f>
        <v>DR Congo</v>
      </c>
      <c r="N143" s="16" t="s">
        <v>934</v>
      </c>
      <c r="O143" s="16">
        <v>142</v>
      </c>
      <c r="P143" s="16" t="s">
        <v>118</v>
      </c>
      <c r="Q143" s="16" t="s">
        <v>113</v>
      </c>
      <c r="R143" s="16" t="s">
        <v>91</v>
      </c>
      <c r="S143" s="16" t="s">
        <v>95</v>
      </c>
      <c r="T143" s="16" t="s">
        <v>127</v>
      </c>
      <c r="U143" s="16" t="s">
        <v>100</v>
      </c>
      <c r="V143" s="16" t="s">
        <v>104</v>
      </c>
      <c r="W143" s="16" t="s">
        <v>131</v>
      </c>
    </row>
    <row r="144" spans="1:23">
      <c r="A144" s="9" t="s">
        <v>935</v>
      </c>
      <c r="B144" s="9">
        <f ca="1">+IF(A144=WORLDCUP!$BI$112,1,0)</f>
        <v>0</v>
      </c>
      <c r="C144" s="9" t="str">
        <f ca="1">+WORLDCUP!BD62</f>
        <v>Ivory Coast</v>
      </c>
      <c r="D144" s="9" t="str">
        <f ca="1">+WORLDCUP!BD64</f>
        <v>Egypt</v>
      </c>
      <c r="E144" s="9" t="str">
        <f ca="1">+WORLDCUP!BD59</f>
        <v>Switzerland</v>
      </c>
      <c r="F144" s="9" t="str">
        <f ca="1">+WORLDCUP!BD60</f>
        <v>Scotland</v>
      </c>
      <c r="G144" s="9" t="str">
        <f ca="1">+WORLDCUP!BD65</f>
        <v>Saudi Arabia</v>
      </c>
      <c r="H144" s="9" t="str">
        <f ca="1">+WORLDCUP!BD61</f>
        <v>Australia</v>
      </c>
      <c r="I144" s="9" t="str">
        <f ca="1">+WORLDCUP!BD69</f>
        <v>Croatia</v>
      </c>
      <c r="J144" s="9" t="str">
        <f ca="1">+WORLDCUP!BD66</f>
        <v>Norway</v>
      </c>
      <c r="N144" s="16" t="s">
        <v>935</v>
      </c>
      <c r="O144" s="16">
        <v>143</v>
      </c>
      <c r="P144" s="16" t="s">
        <v>104</v>
      </c>
      <c r="Q144" s="16" t="s">
        <v>113</v>
      </c>
      <c r="R144" s="16" t="s">
        <v>91</v>
      </c>
      <c r="S144" s="16" t="s">
        <v>95</v>
      </c>
      <c r="T144" s="16" t="s">
        <v>118</v>
      </c>
      <c r="U144" s="16" t="s">
        <v>100</v>
      </c>
      <c r="V144" s="16" t="s">
        <v>136</v>
      </c>
      <c r="W144" s="16" t="s">
        <v>122</v>
      </c>
    </row>
    <row r="145" spans="1:23">
      <c r="A145" s="9" t="s">
        <v>936</v>
      </c>
      <c r="B145" s="9">
        <f ca="1">+IF(A145=WORLDCUP!$BI$112,1,0)</f>
        <v>0</v>
      </c>
      <c r="C145" s="9" t="str">
        <f ca="1">+WORLDCUP!BD62</f>
        <v>Ivory Coast</v>
      </c>
      <c r="D145" s="9" t="str">
        <f ca="1">+WORLDCUP!BD64</f>
        <v>Egypt</v>
      </c>
      <c r="E145" s="9" t="str">
        <f ca="1">+WORLDCUP!BD59</f>
        <v>Switzerland</v>
      </c>
      <c r="F145" s="9" t="str">
        <f ca="1">+WORLDCUP!BD60</f>
        <v>Scotland</v>
      </c>
      <c r="G145" s="9" t="str">
        <f ca="1">+WORLDCUP!BD65</f>
        <v>Saudi Arabia</v>
      </c>
      <c r="H145" s="9" t="str">
        <f ca="1">+WORLDCUP!BD61</f>
        <v>Australia</v>
      </c>
      <c r="I145" s="9" t="str">
        <f ca="1">+WORLDCUP!BD66</f>
        <v>Norway</v>
      </c>
      <c r="J145" s="9" t="str">
        <f ca="1">+WORLDCUP!BD68</f>
        <v>DR Congo</v>
      </c>
      <c r="N145" s="16" t="s">
        <v>936</v>
      </c>
      <c r="O145" s="16">
        <v>144</v>
      </c>
      <c r="P145" s="16" t="s">
        <v>104</v>
      </c>
      <c r="Q145" s="16" t="s">
        <v>113</v>
      </c>
      <c r="R145" s="16" t="s">
        <v>91</v>
      </c>
      <c r="S145" s="16" t="s">
        <v>95</v>
      </c>
      <c r="T145" s="16" t="s">
        <v>118</v>
      </c>
      <c r="U145" s="16" t="s">
        <v>100</v>
      </c>
      <c r="V145" s="16" t="s">
        <v>122</v>
      </c>
      <c r="W145" s="16" t="s">
        <v>131</v>
      </c>
    </row>
    <row r="146" spans="1:23">
      <c r="A146" s="9" t="s">
        <v>937</v>
      </c>
      <c r="B146" s="9">
        <f ca="1">+IF(A146=WORLDCUP!$BI$112,1,0)</f>
        <v>0</v>
      </c>
      <c r="C146" s="9" t="str">
        <f ca="1">+WORLDCUP!BD65</f>
        <v>Saudi Arabia</v>
      </c>
      <c r="D146" s="9" t="str">
        <f ca="1">+WORLDCUP!BD64</f>
        <v>Egypt</v>
      </c>
      <c r="E146" s="9" t="str">
        <f ca="1">+WORLDCUP!BD59</f>
        <v>Switzerland</v>
      </c>
      <c r="F146" s="9" t="str">
        <f ca="1">+WORLDCUP!BD60</f>
        <v>Scotland</v>
      </c>
      <c r="G146" s="9" t="str">
        <f ca="1">+WORLDCUP!BD67</f>
        <v>Algeria</v>
      </c>
      <c r="H146" s="9" t="str">
        <f ca="1">+WORLDCUP!BD61</f>
        <v>Australia</v>
      </c>
      <c r="I146" s="9" t="str">
        <f ca="1">+WORLDCUP!BD62</f>
        <v>Ivory Coast</v>
      </c>
      <c r="J146" s="9" t="str">
        <f ca="1">+WORLDCUP!BD66</f>
        <v>Norway</v>
      </c>
      <c r="N146" s="16" t="s">
        <v>937</v>
      </c>
      <c r="O146" s="16">
        <v>145</v>
      </c>
      <c r="P146" s="16" t="s">
        <v>118</v>
      </c>
      <c r="Q146" s="16" t="s">
        <v>113</v>
      </c>
      <c r="R146" s="16" t="s">
        <v>91</v>
      </c>
      <c r="S146" s="16" t="s">
        <v>95</v>
      </c>
      <c r="T146" s="16" t="s">
        <v>127</v>
      </c>
      <c r="U146" s="16" t="s">
        <v>100</v>
      </c>
      <c r="V146" s="16" t="s">
        <v>104</v>
      </c>
      <c r="W146" s="16" t="s">
        <v>122</v>
      </c>
    </row>
    <row r="147" spans="1:23">
      <c r="A147" s="9" t="s">
        <v>938</v>
      </c>
      <c r="B147" s="9">
        <f ca="1">+IF(A147=WORLDCUP!$BI$112,1,0)</f>
        <v>0</v>
      </c>
      <c r="C147" s="9" t="str">
        <f ca="1">+WORLDCUP!BD60</f>
        <v>Scotland</v>
      </c>
      <c r="D147" s="9" t="str">
        <f ca="1">+WORLDCUP!BD67</f>
        <v>Algeria</v>
      </c>
      <c r="E147" s="9" t="str">
        <f ca="1">+WORLDCUP!BD59</f>
        <v>Switzerland</v>
      </c>
      <c r="F147" s="9" t="str">
        <f ca="1">+WORLDCUP!BD61</f>
        <v>Australia</v>
      </c>
      <c r="G147" s="9" t="str">
        <f ca="1">+WORLDCUP!BD62</f>
        <v>Ivory Coast</v>
      </c>
      <c r="H147" s="9" t="str">
        <f ca="1">+WORLDCUP!BD63</f>
        <v>Tunisia</v>
      </c>
      <c r="I147" s="9" t="str">
        <f ca="1">+WORLDCUP!BD69</f>
        <v>Croatia</v>
      </c>
      <c r="J147" s="9" t="str">
        <f ca="1">+WORLDCUP!BD68</f>
        <v>DR Congo</v>
      </c>
      <c r="N147" s="16" t="s">
        <v>938</v>
      </c>
      <c r="O147" s="16">
        <v>146</v>
      </c>
      <c r="P147" s="16" t="s">
        <v>95</v>
      </c>
      <c r="Q147" s="16" t="s">
        <v>127</v>
      </c>
      <c r="R147" s="16" t="s">
        <v>91</v>
      </c>
      <c r="S147" s="16" t="s">
        <v>100</v>
      </c>
      <c r="T147" s="16" t="s">
        <v>104</v>
      </c>
      <c r="U147" s="16" t="s">
        <v>109</v>
      </c>
      <c r="V147" s="16" t="s">
        <v>136</v>
      </c>
      <c r="W147" s="16" t="s">
        <v>131</v>
      </c>
    </row>
    <row r="148" spans="1:23">
      <c r="A148" s="9" t="s">
        <v>939</v>
      </c>
      <c r="B148" s="9">
        <f ca="1">+IF(A148=WORLDCUP!$BI$112,1,0)</f>
        <v>0</v>
      </c>
      <c r="C148" s="9" t="str">
        <f ca="1">+WORLDCUP!BD60</f>
        <v>Scotland</v>
      </c>
      <c r="D148" s="9" t="str">
        <f ca="1">+WORLDCUP!BD62</f>
        <v>Ivory Coast</v>
      </c>
      <c r="E148" s="9" t="str">
        <f ca="1">+WORLDCUP!BD59</f>
        <v>Switzerland</v>
      </c>
      <c r="F148" s="9" t="str">
        <f ca="1">+WORLDCUP!BD61</f>
        <v>Australia</v>
      </c>
      <c r="G148" s="9" t="str">
        <f ca="1">+WORLDCUP!BD66</f>
        <v>Norway</v>
      </c>
      <c r="H148" s="9" t="str">
        <f ca="1">+WORLDCUP!BD63</f>
        <v>Tunisia</v>
      </c>
      <c r="I148" s="9" t="str">
        <f ca="1">+WORLDCUP!BD69</f>
        <v>Croatia</v>
      </c>
      <c r="J148" s="9" t="str">
        <f ca="1">+WORLDCUP!BD68</f>
        <v>DR Congo</v>
      </c>
      <c r="N148" s="16" t="s">
        <v>939</v>
      </c>
      <c r="O148" s="16">
        <v>147</v>
      </c>
      <c r="P148" s="16" t="s">
        <v>95</v>
      </c>
      <c r="Q148" s="16" t="s">
        <v>104</v>
      </c>
      <c r="R148" s="16" t="s">
        <v>91</v>
      </c>
      <c r="S148" s="16" t="s">
        <v>100</v>
      </c>
      <c r="T148" s="16" t="s">
        <v>122</v>
      </c>
      <c r="U148" s="16" t="s">
        <v>109</v>
      </c>
      <c r="V148" s="16" t="s">
        <v>136</v>
      </c>
      <c r="W148" s="16" t="s">
        <v>131</v>
      </c>
    </row>
    <row r="149" spans="1:23">
      <c r="A149" s="9" t="s">
        <v>940</v>
      </c>
      <c r="B149" s="9">
        <f ca="1">+IF(A149=WORLDCUP!$BI$112,1,0)</f>
        <v>0</v>
      </c>
      <c r="C149" s="9" t="str">
        <f ca="1">+WORLDCUP!BD60</f>
        <v>Scotland</v>
      </c>
      <c r="D149" s="9" t="str">
        <f ca="1">+WORLDCUP!BD67</f>
        <v>Algeria</v>
      </c>
      <c r="E149" s="9" t="str">
        <f ca="1">+WORLDCUP!BD59</f>
        <v>Switzerland</v>
      </c>
      <c r="F149" s="9" t="str">
        <f ca="1">+WORLDCUP!BD61</f>
        <v>Australia</v>
      </c>
      <c r="G149" s="9" t="str">
        <f ca="1">+WORLDCUP!BD62</f>
        <v>Ivory Coast</v>
      </c>
      <c r="H149" s="9" t="str">
        <f ca="1">+WORLDCUP!BD63</f>
        <v>Tunisia</v>
      </c>
      <c r="I149" s="9" t="str">
        <f ca="1">+WORLDCUP!BD69</f>
        <v>Croatia</v>
      </c>
      <c r="J149" s="9" t="str">
        <f ca="1">+WORLDCUP!BD66</f>
        <v>Norway</v>
      </c>
      <c r="N149" s="16" t="s">
        <v>940</v>
      </c>
      <c r="O149" s="16">
        <v>148</v>
      </c>
      <c r="P149" s="16" t="s">
        <v>95</v>
      </c>
      <c r="Q149" s="16" t="s">
        <v>127</v>
      </c>
      <c r="R149" s="16" t="s">
        <v>91</v>
      </c>
      <c r="S149" s="16" t="s">
        <v>100</v>
      </c>
      <c r="T149" s="16" t="s">
        <v>104</v>
      </c>
      <c r="U149" s="16" t="s">
        <v>109</v>
      </c>
      <c r="V149" s="16" t="s">
        <v>136</v>
      </c>
      <c r="W149" s="16" t="s">
        <v>122</v>
      </c>
    </row>
    <row r="150" spans="1:23">
      <c r="A150" s="9" t="s">
        <v>941</v>
      </c>
      <c r="B150" s="9">
        <f ca="1">+IF(A150=WORLDCUP!$BI$112,1,0)</f>
        <v>0</v>
      </c>
      <c r="C150" s="9" t="str">
        <f ca="1">+WORLDCUP!BD60</f>
        <v>Scotland</v>
      </c>
      <c r="D150" s="9" t="str">
        <f ca="1">+WORLDCUP!BD67</f>
        <v>Algeria</v>
      </c>
      <c r="E150" s="9" t="str">
        <f ca="1">+WORLDCUP!BD59</f>
        <v>Switzerland</v>
      </c>
      <c r="F150" s="9" t="str">
        <f ca="1">+WORLDCUP!BD61</f>
        <v>Australia</v>
      </c>
      <c r="G150" s="9" t="str">
        <f ca="1">+WORLDCUP!BD62</f>
        <v>Ivory Coast</v>
      </c>
      <c r="H150" s="9" t="str">
        <f ca="1">+WORLDCUP!BD63</f>
        <v>Tunisia</v>
      </c>
      <c r="I150" s="9" t="str">
        <f ca="1">+WORLDCUP!BD66</f>
        <v>Norway</v>
      </c>
      <c r="J150" s="9" t="str">
        <f ca="1">+WORLDCUP!BD68</f>
        <v>DR Congo</v>
      </c>
      <c r="N150" s="16" t="s">
        <v>941</v>
      </c>
      <c r="O150" s="16">
        <v>149</v>
      </c>
      <c r="P150" s="16" t="s">
        <v>95</v>
      </c>
      <c r="Q150" s="16" t="s">
        <v>127</v>
      </c>
      <c r="R150" s="16" t="s">
        <v>91</v>
      </c>
      <c r="S150" s="16" t="s">
        <v>100</v>
      </c>
      <c r="T150" s="16" t="s">
        <v>104</v>
      </c>
      <c r="U150" s="16" t="s">
        <v>109</v>
      </c>
      <c r="V150" s="16" t="s">
        <v>122</v>
      </c>
      <c r="W150" s="16" t="s">
        <v>131</v>
      </c>
    </row>
    <row r="151" spans="1:23">
      <c r="A151" s="9" t="s">
        <v>942</v>
      </c>
      <c r="B151" s="9">
        <f ca="1">+IF(A151=WORLDCUP!$BI$112,1,0)</f>
        <v>0</v>
      </c>
      <c r="C151" s="9" t="str">
        <f ca="1">+WORLDCUP!BD60</f>
        <v>Scotland</v>
      </c>
      <c r="D151" s="9" t="str">
        <f ca="1">+WORLDCUP!BD62</f>
        <v>Ivory Coast</v>
      </c>
      <c r="E151" s="9" t="str">
        <f ca="1">+WORLDCUP!BD59</f>
        <v>Switzerland</v>
      </c>
      <c r="F151" s="9" t="str">
        <f ca="1">+WORLDCUP!BD61</f>
        <v>Australia</v>
      </c>
      <c r="G151" s="9" t="str">
        <f ca="1">+WORLDCUP!BD65</f>
        <v>Saudi Arabia</v>
      </c>
      <c r="H151" s="9" t="str">
        <f ca="1">+WORLDCUP!BD63</f>
        <v>Tunisia</v>
      </c>
      <c r="I151" s="9" t="str">
        <f ca="1">+WORLDCUP!BD69</f>
        <v>Croatia</v>
      </c>
      <c r="J151" s="9" t="str">
        <f ca="1">+WORLDCUP!BD68</f>
        <v>DR Congo</v>
      </c>
      <c r="N151" s="16" t="s">
        <v>942</v>
      </c>
      <c r="O151" s="16">
        <v>150</v>
      </c>
      <c r="P151" s="16" t="s">
        <v>95</v>
      </c>
      <c r="Q151" s="16" t="s">
        <v>104</v>
      </c>
      <c r="R151" s="16" t="s">
        <v>91</v>
      </c>
      <c r="S151" s="16" t="s">
        <v>100</v>
      </c>
      <c r="T151" s="16" t="s">
        <v>118</v>
      </c>
      <c r="U151" s="16" t="s">
        <v>109</v>
      </c>
      <c r="V151" s="16" t="s">
        <v>136</v>
      </c>
      <c r="W151" s="16" t="s">
        <v>131</v>
      </c>
    </row>
    <row r="152" spans="1:23">
      <c r="A152" s="9" t="s">
        <v>943</v>
      </c>
      <c r="B152" s="9">
        <f ca="1">+IF(A152=WORLDCUP!$BI$112,1,0)</f>
        <v>0</v>
      </c>
      <c r="C152" s="9" t="str">
        <f ca="1">+WORLDCUP!BD60</f>
        <v>Scotland</v>
      </c>
      <c r="D152" s="9" t="str">
        <f ca="1">+WORLDCUP!BD67</f>
        <v>Algeria</v>
      </c>
      <c r="E152" s="9" t="str">
        <f ca="1">+WORLDCUP!BD59</f>
        <v>Switzerland</v>
      </c>
      <c r="F152" s="9" t="str">
        <f ca="1">+WORLDCUP!BD61</f>
        <v>Australia</v>
      </c>
      <c r="G152" s="9" t="str">
        <f ca="1">+WORLDCUP!BD65</f>
        <v>Saudi Arabia</v>
      </c>
      <c r="H152" s="9" t="str">
        <f ca="1">+WORLDCUP!BD63</f>
        <v>Tunisia</v>
      </c>
      <c r="I152" s="9" t="str">
        <f ca="1">+WORLDCUP!BD69</f>
        <v>Croatia</v>
      </c>
      <c r="J152" s="9" t="str">
        <f ca="1">+WORLDCUP!BD62</f>
        <v>Ivory Coast</v>
      </c>
      <c r="N152" s="16" t="s">
        <v>943</v>
      </c>
      <c r="O152" s="16">
        <v>151</v>
      </c>
      <c r="P152" s="16" t="s">
        <v>95</v>
      </c>
      <c r="Q152" s="16" t="s">
        <v>127</v>
      </c>
      <c r="R152" s="16" t="s">
        <v>91</v>
      </c>
      <c r="S152" s="16" t="s">
        <v>100</v>
      </c>
      <c r="T152" s="16" t="s">
        <v>118</v>
      </c>
      <c r="U152" s="16" t="s">
        <v>109</v>
      </c>
      <c r="V152" s="16" t="s">
        <v>136</v>
      </c>
      <c r="W152" s="16" t="s">
        <v>104</v>
      </c>
    </row>
    <row r="153" spans="1:23">
      <c r="A153" s="9" t="s">
        <v>944</v>
      </c>
      <c r="B153" s="9">
        <f ca="1">+IF(A153=WORLDCUP!$BI$112,1,0)</f>
        <v>0</v>
      </c>
      <c r="C153" s="9" t="str">
        <f ca="1">+WORLDCUP!BD60</f>
        <v>Scotland</v>
      </c>
      <c r="D153" s="9" t="str">
        <f ca="1">+WORLDCUP!BD67</f>
        <v>Algeria</v>
      </c>
      <c r="E153" s="9" t="str">
        <f ca="1">+WORLDCUP!BD59</f>
        <v>Switzerland</v>
      </c>
      <c r="F153" s="9" t="str">
        <f ca="1">+WORLDCUP!BD61</f>
        <v>Australia</v>
      </c>
      <c r="G153" s="9" t="str">
        <f ca="1">+WORLDCUP!BD65</f>
        <v>Saudi Arabia</v>
      </c>
      <c r="H153" s="9" t="str">
        <f ca="1">+WORLDCUP!BD63</f>
        <v>Tunisia</v>
      </c>
      <c r="I153" s="9" t="str">
        <f ca="1">+WORLDCUP!BD62</f>
        <v>Ivory Coast</v>
      </c>
      <c r="J153" s="9" t="str">
        <f ca="1">+WORLDCUP!BD68</f>
        <v>DR Congo</v>
      </c>
      <c r="N153" s="16" t="s">
        <v>944</v>
      </c>
      <c r="O153" s="16">
        <v>152</v>
      </c>
      <c r="P153" s="16" t="s">
        <v>95</v>
      </c>
      <c r="Q153" s="16" t="s">
        <v>127</v>
      </c>
      <c r="R153" s="16" t="s">
        <v>91</v>
      </c>
      <c r="S153" s="16" t="s">
        <v>100</v>
      </c>
      <c r="T153" s="16" t="s">
        <v>118</v>
      </c>
      <c r="U153" s="16" t="s">
        <v>109</v>
      </c>
      <c r="V153" s="16" t="s">
        <v>104</v>
      </c>
      <c r="W153" s="16" t="s">
        <v>131</v>
      </c>
    </row>
    <row r="154" spans="1:23">
      <c r="A154" s="9" t="s">
        <v>945</v>
      </c>
      <c r="B154" s="9">
        <f ca="1">+IF(A154=WORLDCUP!$BI$112,1,0)</f>
        <v>0</v>
      </c>
      <c r="C154" s="9" t="str">
        <f ca="1">+WORLDCUP!BD60</f>
        <v>Scotland</v>
      </c>
      <c r="D154" s="9" t="str">
        <f ca="1">+WORLDCUP!BD62</f>
        <v>Ivory Coast</v>
      </c>
      <c r="E154" s="9" t="str">
        <f ca="1">+WORLDCUP!BD59</f>
        <v>Switzerland</v>
      </c>
      <c r="F154" s="9" t="str">
        <f ca="1">+WORLDCUP!BD61</f>
        <v>Australia</v>
      </c>
      <c r="G154" s="9" t="str">
        <f ca="1">+WORLDCUP!BD65</f>
        <v>Saudi Arabia</v>
      </c>
      <c r="H154" s="9" t="str">
        <f ca="1">+WORLDCUP!BD63</f>
        <v>Tunisia</v>
      </c>
      <c r="I154" s="9" t="str">
        <f ca="1">+WORLDCUP!BD69</f>
        <v>Croatia</v>
      </c>
      <c r="J154" s="9" t="str">
        <f ca="1">+WORLDCUP!BD66</f>
        <v>Norway</v>
      </c>
      <c r="N154" s="16" t="s">
        <v>945</v>
      </c>
      <c r="O154" s="16">
        <v>153</v>
      </c>
      <c r="P154" s="16" t="s">
        <v>95</v>
      </c>
      <c r="Q154" s="16" t="s">
        <v>104</v>
      </c>
      <c r="R154" s="16" t="s">
        <v>91</v>
      </c>
      <c r="S154" s="16" t="s">
        <v>100</v>
      </c>
      <c r="T154" s="16" t="s">
        <v>118</v>
      </c>
      <c r="U154" s="16" t="s">
        <v>109</v>
      </c>
      <c r="V154" s="16" t="s">
        <v>136</v>
      </c>
      <c r="W154" s="16" t="s">
        <v>122</v>
      </c>
    </row>
    <row r="155" spans="1:23">
      <c r="A155" s="9" t="s">
        <v>946</v>
      </c>
      <c r="B155" s="9">
        <f ca="1">+IF(A155=WORLDCUP!$BI$112,1,0)</f>
        <v>0</v>
      </c>
      <c r="C155" s="9" t="str">
        <f ca="1">+WORLDCUP!BD60</f>
        <v>Scotland</v>
      </c>
      <c r="D155" s="9" t="str">
        <f ca="1">+WORLDCUP!BD62</f>
        <v>Ivory Coast</v>
      </c>
      <c r="E155" s="9" t="str">
        <f ca="1">+WORLDCUP!BD59</f>
        <v>Switzerland</v>
      </c>
      <c r="F155" s="9" t="str">
        <f ca="1">+WORLDCUP!BD61</f>
        <v>Australia</v>
      </c>
      <c r="G155" s="9" t="str">
        <f ca="1">+WORLDCUP!BD65</f>
        <v>Saudi Arabia</v>
      </c>
      <c r="H155" s="9" t="str">
        <f ca="1">+WORLDCUP!BD63</f>
        <v>Tunisia</v>
      </c>
      <c r="I155" s="9" t="str">
        <f ca="1">+WORLDCUP!BD66</f>
        <v>Norway</v>
      </c>
      <c r="J155" s="9" t="str">
        <f ca="1">+WORLDCUP!BD68</f>
        <v>DR Congo</v>
      </c>
      <c r="N155" s="16" t="s">
        <v>946</v>
      </c>
      <c r="O155" s="16">
        <v>154</v>
      </c>
      <c r="P155" s="16" t="s">
        <v>95</v>
      </c>
      <c r="Q155" s="16" t="s">
        <v>104</v>
      </c>
      <c r="R155" s="16" t="s">
        <v>91</v>
      </c>
      <c r="S155" s="16" t="s">
        <v>100</v>
      </c>
      <c r="T155" s="16" t="s">
        <v>118</v>
      </c>
      <c r="U155" s="16" t="s">
        <v>109</v>
      </c>
      <c r="V155" s="16" t="s">
        <v>122</v>
      </c>
      <c r="W155" s="16" t="s">
        <v>131</v>
      </c>
    </row>
    <row r="156" spans="1:23">
      <c r="A156" s="9" t="s">
        <v>947</v>
      </c>
      <c r="B156" s="9">
        <f ca="1">+IF(A156=WORLDCUP!$BI$112,1,0)</f>
        <v>0</v>
      </c>
      <c r="C156" s="9" t="str">
        <f ca="1">+WORLDCUP!BD60</f>
        <v>Scotland</v>
      </c>
      <c r="D156" s="9" t="str">
        <f ca="1">+WORLDCUP!BD67</f>
        <v>Algeria</v>
      </c>
      <c r="E156" s="9" t="str">
        <f ca="1">+WORLDCUP!BD59</f>
        <v>Switzerland</v>
      </c>
      <c r="F156" s="9" t="str">
        <f ca="1">+WORLDCUP!BD61</f>
        <v>Australia</v>
      </c>
      <c r="G156" s="9" t="str">
        <f ca="1">+WORLDCUP!BD65</f>
        <v>Saudi Arabia</v>
      </c>
      <c r="H156" s="9" t="str">
        <f ca="1">+WORLDCUP!BD63</f>
        <v>Tunisia</v>
      </c>
      <c r="I156" s="9" t="str">
        <f ca="1">+WORLDCUP!BD62</f>
        <v>Ivory Coast</v>
      </c>
      <c r="J156" s="9" t="str">
        <f ca="1">+WORLDCUP!BD66</f>
        <v>Norway</v>
      </c>
      <c r="N156" s="16" t="s">
        <v>947</v>
      </c>
      <c r="O156" s="16">
        <v>155</v>
      </c>
      <c r="P156" s="16" t="s">
        <v>95</v>
      </c>
      <c r="Q156" s="16" t="s">
        <v>127</v>
      </c>
      <c r="R156" s="16" t="s">
        <v>91</v>
      </c>
      <c r="S156" s="16" t="s">
        <v>100</v>
      </c>
      <c r="T156" s="16" t="s">
        <v>118</v>
      </c>
      <c r="U156" s="16" t="s">
        <v>109</v>
      </c>
      <c r="V156" s="16" t="s">
        <v>104</v>
      </c>
      <c r="W156" s="16" t="s">
        <v>122</v>
      </c>
    </row>
    <row r="157" spans="1:23">
      <c r="A157" s="9" t="s">
        <v>948</v>
      </c>
      <c r="B157" s="9">
        <f ca="1">+IF(A157=WORLDCUP!$BI$112,1,0)</f>
        <v>0</v>
      </c>
      <c r="C157" s="9" t="str">
        <f ca="1">+WORLDCUP!BD60</f>
        <v>Scotland</v>
      </c>
      <c r="D157" s="9" t="str">
        <f ca="1">+WORLDCUP!BD64</f>
        <v>Egypt</v>
      </c>
      <c r="E157" s="9" t="str">
        <f ca="1">+WORLDCUP!BD59</f>
        <v>Switzerland</v>
      </c>
      <c r="F157" s="9" t="str">
        <f ca="1">+WORLDCUP!BD61</f>
        <v>Australia</v>
      </c>
      <c r="G157" s="9" t="str">
        <f ca="1">+WORLDCUP!BD62</f>
        <v>Ivory Coast</v>
      </c>
      <c r="H157" s="9" t="str">
        <f ca="1">+WORLDCUP!BD63</f>
        <v>Tunisia</v>
      </c>
      <c r="I157" s="9" t="str">
        <f ca="1">+WORLDCUP!BD69</f>
        <v>Croatia</v>
      </c>
      <c r="J157" s="9" t="str">
        <f ca="1">+WORLDCUP!BD68</f>
        <v>DR Congo</v>
      </c>
      <c r="N157" s="16" t="s">
        <v>948</v>
      </c>
      <c r="O157" s="16">
        <v>156</v>
      </c>
      <c r="P157" s="16" t="s">
        <v>95</v>
      </c>
      <c r="Q157" s="16" t="s">
        <v>113</v>
      </c>
      <c r="R157" s="16" t="s">
        <v>91</v>
      </c>
      <c r="S157" s="16" t="s">
        <v>100</v>
      </c>
      <c r="T157" s="16" t="s">
        <v>104</v>
      </c>
      <c r="U157" s="16" t="s">
        <v>109</v>
      </c>
      <c r="V157" s="16" t="s">
        <v>136</v>
      </c>
      <c r="W157" s="16" t="s">
        <v>131</v>
      </c>
    </row>
    <row r="158" spans="1:23">
      <c r="A158" s="9" t="s">
        <v>949</v>
      </c>
      <c r="B158" s="9">
        <f ca="1">+IF(A158=WORLDCUP!$BI$112,1,0)</f>
        <v>0</v>
      </c>
      <c r="C158" s="9" t="str">
        <f ca="1">+WORLDCUP!BD60</f>
        <v>Scotland</v>
      </c>
      <c r="D158" s="9" t="str">
        <f ca="1">+WORLDCUP!BD64</f>
        <v>Egypt</v>
      </c>
      <c r="E158" s="9" t="str">
        <f ca="1">+WORLDCUP!BD59</f>
        <v>Switzerland</v>
      </c>
      <c r="F158" s="9" t="str">
        <f ca="1">+WORLDCUP!BD61</f>
        <v>Australia</v>
      </c>
      <c r="G158" s="9" t="str">
        <f ca="1">+WORLDCUP!BD67</f>
        <v>Algeria</v>
      </c>
      <c r="H158" s="9" t="str">
        <f ca="1">+WORLDCUP!BD63</f>
        <v>Tunisia</v>
      </c>
      <c r="I158" s="9" t="str">
        <f ca="1">+WORLDCUP!BD69</f>
        <v>Croatia</v>
      </c>
      <c r="J158" s="9" t="str">
        <f ca="1">+WORLDCUP!BD62</f>
        <v>Ivory Coast</v>
      </c>
      <c r="N158" s="16" t="s">
        <v>949</v>
      </c>
      <c r="O158" s="16">
        <v>157</v>
      </c>
      <c r="P158" s="16" t="s">
        <v>95</v>
      </c>
      <c r="Q158" s="16" t="s">
        <v>113</v>
      </c>
      <c r="R158" s="16" t="s">
        <v>91</v>
      </c>
      <c r="S158" s="16" t="s">
        <v>100</v>
      </c>
      <c r="T158" s="16" t="s">
        <v>127</v>
      </c>
      <c r="U158" s="16" t="s">
        <v>109</v>
      </c>
      <c r="V158" s="16" t="s">
        <v>136</v>
      </c>
      <c r="W158" s="16" t="s">
        <v>104</v>
      </c>
    </row>
    <row r="159" spans="1:23">
      <c r="A159" s="9" t="s">
        <v>950</v>
      </c>
      <c r="B159" s="9">
        <f ca="1">+IF(A159=WORLDCUP!$BI$112,1,0)</f>
        <v>0</v>
      </c>
      <c r="C159" s="9" t="str">
        <f ca="1">+WORLDCUP!BD60</f>
        <v>Scotland</v>
      </c>
      <c r="D159" s="9" t="str">
        <f ca="1">+WORLDCUP!BD64</f>
        <v>Egypt</v>
      </c>
      <c r="E159" s="9" t="str">
        <f ca="1">+WORLDCUP!BD59</f>
        <v>Switzerland</v>
      </c>
      <c r="F159" s="9" t="str">
        <f ca="1">+WORLDCUP!BD61</f>
        <v>Australia</v>
      </c>
      <c r="G159" s="9" t="str">
        <f ca="1">+WORLDCUP!BD67</f>
        <v>Algeria</v>
      </c>
      <c r="H159" s="9" t="str">
        <f ca="1">+WORLDCUP!BD63</f>
        <v>Tunisia</v>
      </c>
      <c r="I159" s="9" t="str">
        <f ca="1">+WORLDCUP!BD62</f>
        <v>Ivory Coast</v>
      </c>
      <c r="J159" s="9" t="str">
        <f ca="1">+WORLDCUP!BD68</f>
        <v>DR Congo</v>
      </c>
      <c r="N159" s="16" t="s">
        <v>950</v>
      </c>
      <c r="O159" s="16">
        <v>158</v>
      </c>
      <c r="P159" s="16" t="s">
        <v>95</v>
      </c>
      <c r="Q159" s="16" t="s">
        <v>113</v>
      </c>
      <c r="R159" s="16" t="s">
        <v>91</v>
      </c>
      <c r="S159" s="16" t="s">
        <v>100</v>
      </c>
      <c r="T159" s="16" t="s">
        <v>127</v>
      </c>
      <c r="U159" s="16" t="s">
        <v>109</v>
      </c>
      <c r="V159" s="16" t="s">
        <v>104</v>
      </c>
      <c r="W159" s="16" t="s">
        <v>131</v>
      </c>
    </row>
    <row r="160" spans="1:23">
      <c r="A160" s="9" t="s">
        <v>951</v>
      </c>
      <c r="B160" s="9">
        <f ca="1">+IF(A160=WORLDCUP!$BI$112,1,0)</f>
        <v>0</v>
      </c>
      <c r="C160" s="9" t="str">
        <f ca="1">+WORLDCUP!BD60</f>
        <v>Scotland</v>
      </c>
      <c r="D160" s="9" t="str">
        <f ca="1">+WORLDCUP!BD64</f>
        <v>Egypt</v>
      </c>
      <c r="E160" s="9" t="str">
        <f ca="1">+WORLDCUP!BD59</f>
        <v>Switzerland</v>
      </c>
      <c r="F160" s="9" t="str">
        <f ca="1">+WORLDCUP!BD61</f>
        <v>Australia</v>
      </c>
      <c r="G160" s="9" t="str">
        <f ca="1">+WORLDCUP!BD62</f>
        <v>Ivory Coast</v>
      </c>
      <c r="H160" s="9" t="str">
        <f ca="1">+WORLDCUP!BD63</f>
        <v>Tunisia</v>
      </c>
      <c r="I160" s="9" t="str">
        <f ca="1">+WORLDCUP!BD69</f>
        <v>Croatia</v>
      </c>
      <c r="J160" s="9" t="str">
        <f ca="1">+WORLDCUP!BD66</f>
        <v>Norway</v>
      </c>
      <c r="N160" s="16" t="s">
        <v>951</v>
      </c>
      <c r="O160" s="16">
        <v>159</v>
      </c>
      <c r="P160" s="16" t="s">
        <v>95</v>
      </c>
      <c r="Q160" s="16" t="s">
        <v>113</v>
      </c>
      <c r="R160" s="16" t="s">
        <v>91</v>
      </c>
      <c r="S160" s="16" t="s">
        <v>100</v>
      </c>
      <c r="T160" s="16" t="s">
        <v>104</v>
      </c>
      <c r="U160" s="16" t="s">
        <v>109</v>
      </c>
      <c r="V160" s="16" t="s">
        <v>136</v>
      </c>
      <c r="W160" s="16" t="s">
        <v>122</v>
      </c>
    </row>
    <row r="161" spans="1:23">
      <c r="A161" s="9" t="s">
        <v>952</v>
      </c>
      <c r="B161" s="9">
        <f ca="1">+IF(A161=WORLDCUP!$BI$112,1,0)</f>
        <v>0</v>
      </c>
      <c r="C161" s="9" t="str">
        <f ca="1">+WORLDCUP!BD60</f>
        <v>Scotland</v>
      </c>
      <c r="D161" s="9" t="str">
        <f ca="1">+WORLDCUP!BD64</f>
        <v>Egypt</v>
      </c>
      <c r="E161" s="9" t="str">
        <f ca="1">+WORLDCUP!BD59</f>
        <v>Switzerland</v>
      </c>
      <c r="F161" s="9" t="str">
        <f ca="1">+WORLDCUP!BD61</f>
        <v>Australia</v>
      </c>
      <c r="G161" s="9" t="str">
        <f ca="1">+WORLDCUP!BD62</f>
        <v>Ivory Coast</v>
      </c>
      <c r="H161" s="9" t="str">
        <f ca="1">+WORLDCUP!BD63</f>
        <v>Tunisia</v>
      </c>
      <c r="I161" s="9" t="str">
        <f ca="1">+WORLDCUP!BD66</f>
        <v>Norway</v>
      </c>
      <c r="J161" s="9" t="str">
        <f ca="1">+WORLDCUP!BD68</f>
        <v>DR Congo</v>
      </c>
      <c r="N161" s="16" t="s">
        <v>952</v>
      </c>
      <c r="O161" s="16">
        <v>160</v>
      </c>
      <c r="P161" s="16" t="s">
        <v>95</v>
      </c>
      <c r="Q161" s="16" t="s">
        <v>113</v>
      </c>
      <c r="R161" s="16" t="s">
        <v>91</v>
      </c>
      <c r="S161" s="16" t="s">
        <v>100</v>
      </c>
      <c r="T161" s="16" t="s">
        <v>104</v>
      </c>
      <c r="U161" s="16" t="s">
        <v>109</v>
      </c>
      <c r="V161" s="16" t="s">
        <v>122</v>
      </c>
      <c r="W161" s="16" t="s">
        <v>131</v>
      </c>
    </row>
    <row r="162" spans="1:23">
      <c r="A162" s="9" t="s">
        <v>953</v>
      </c>
      <c r="B162" s="9">
        <f ca="1">+IF(A162=WORLDCUP!$BI$112,1,0)</f>
        <v>0</v>
      </c>
      <c r="C162" s="9" t="str">
        <f ca="1">+WORLDCUP!BD60</f>
        <v>Scotland</v>
      </c>
      <c r="D162" s="9" t="str">
        <f ca="1">+WORLDCUP!BD64</f>
        <v>Egypt</v>
      </c>
      <c r="E162" s="9" t="str">
        <f ca="1">+WORLDCUP!BD59</f>
        <v>Switzerland</v>
      </c>
      <c r="F162" s="9" t="str">
        <f ca="1">+WORLDCUP!BD61</f>
        <v>Australia</v>
      </c>
      <c r="G162" s="9" t="str">
        <f ca="1">+WORLDCUP!BD67</f>
        <v>Algeria</v>
      </c>
      <c r="H162" s="9" t="str">
        <f ca="1">+WORLDCUP!BD63</f>
        <v>Tunisia</v>
      </c>
      <c r="I162" s="9" t="str">
        <f ca="1">+WORLDCUP!BD62</f>
        <v>Ivory Coast</v>
      </c>
      <c r="J162" s="9" t="str">
        <f ca="1">+WORLDCUP!BD66</f>
        <v>Norway</v>
      </c>
      <c r="N162" s="16" t="s">
        <v>953</v>
      </c>
      <c r="O162" s="16">
        <v>161</v>
      </c>
      <c r="P162" s="16" t="s">
        <v>95</v>
      </c>
      <c r="Q162" s="16" t="s">
        <v>113</v>
      </c>
      <c r="R162" s="16" t="s">
        <v>91</v>
      </c>
      <c r="S162" s="16" t="s">
        <v>100</v>
      </c>
      <c r="T162" s="16" t="s">
        <v>127</v>
      </c>
      <c r="U162" s="16" t="s">
        <v>109</v>
      </c>
      <c r="V162" s="16" t="s">
        <v>104</v>
      </c>
      <c r="W162" s="16" t="s">
        <v>122</v>
      </c>
    </row>
    <row r="163" spans="1:23">
      <c r="A163" s="9" t="s">
        <v>954</v>
      </c>
      <c r="B163" s="9">
        <f ca="1">+IF(A163=WORLDCUP!$BI$112,1,0)</f>
        <v>0</v>
      </c>
      <c r="C163" s="9" t="str">
        <f ca="1">+WORLDCUP!BD60</f>
        <v>Scotland</v>
      </c>
      <c r="D163" s="9" t="str">
        <f ca="1">+WORLDCUP!BD64</f>
        <v>Egypt</v>
      </c>
      <c r="E163" s="9" t="str">
        <f ca="1">+WORLDCUP!BD59</f>
        <v>Switzerland</v>
      </c>
      <c r="F163" s="9" t="str">
        <f ca="1">+WORLDCUP!BD61</f>
        <v>Australia</v>
      </c>
      <c r="G163" s="9" t="str">
        <f ca="1">+WORLDCUP!BD65</f>
        <v>Saudi Arabia</v>
      </c>
      <c r="H163" s="9" t="str">
        <f ca="1">+WORLDCUP!BD63</f>
        <v>Tunisia</v>
      </c>
      <c r="I163" s="9" t="str">
        <f ca="1">+WORLDCUP!BD69</f>
        <v>Croatia</v>
      </c>
      <c r="J163" s="9" t="str">
        <f ca="1">+WORLDCUP!BD62</f>
        <v>Ivory Coast</v>
      </c>
      <c r="N163" s="16" t="s">
        <v>954</v>
      </c>
      <c r="O163" s="16">
        <v>162</v>
      </c>
      <c r="P163" s="16" t="s">
        <v>95</v>
      </c>
      <c r="Q163" s="16" t="s">
        <v>113</v>
      </c>
      <c r="R163" s="16" t="s">
        <v>91</v>
      </c>
      <c r="S163" s="16" t="s">
        <v>100</v>
      </c>
      <c r="T163" s="16" t="s">
        <v>118</v>
      </c>
      <c r="U163" s="16" t="s">
        <v>109</v>
      </c>
      <c r="V163" s="16" t="s">
        <v>136</v>
      </c>
      <c r="W163" s="16" t="s">
        <v>104</v>
      </c>
    </row>
    <row r="164" spans="1:23">
      <c r="A164" s="9" t="s">
        <v>955</v>
      </c>
      <c r="B164" s="9">
        <f ca="1">+IF(A164=WORLDCUP!$BI$112,1,0)</f>
        <v>0</v>
      </c>
      <c r="C164" s="9" t="str">
        <f ca="1">+WORLDCUP!BD60</f>
        <v>Scotland</v>
      </c>
      <c r="D164" s="9" t="str">
        <f ca="1">+WORLDCUP!BD64</f>
        <v>Egypt</v>
      </c>
      <c r="E164" s="9" t="str">
        <f ca="1">+WORLDCUP!BD59</f>
        <v>Switzerland</v>
      </c>
      <c r="F164" s="9" t="str">
        <f ca="1">+WORLDCUP!BD61</f>
        <v>Australia</v>
      </c>
      <c r="G164" s="9" t="str">
        <f ca="1">+WORLDCUP!BD65</f>
        <v>Saudi Arabia</v>
      </c>
      <c r="H164" s="9" t="str">
        <f ca="1">+WORLDCUP!BD63</f>
        <v>Tunisia</v>
      </c>
      <c r="I164" s="9" t="str">
        <f ca="1">+WORLDCUP!BD62</f>
        <v>Ivory Coast</v>
      </c>
      <c r="J164" s="9" t="str">
        <f ca="1">+WORLDCUP!BD68</f>
        <v>DR Congo</v>
      </c>
      <c r="N164" s="16" t="s">
        <v>955</v>
      </c>
      <c r="O164" s="16">
        <v>163</v>
      </c>
      <c r="P164" s="16" t="s">
        <v>95</v>
      </c>
      <c r="Q164" s="16" t="s">
        <v>113</v>
      </c>
      <c r="R164" s="16" t="s">
        <v>91</v>
      </c>
      <c r="S164" s="16" t="s">
        <v>100</v>
      </c>
      <c r="T164" s="16" t="s">
        <v>118</v>
      </c>
      <c r="U164" s="16" t="s">
        <v>109</v>
      </c>
      <c r="V164" s="16" t="s">
        <v>104</v>
      </c>
      <c r="W164" s="16" t="s">
        <v>131</v>
      </c>
    </row>
    <row r="165" spans="1:23">
      <c r="A165" s="9" t="s">
        <v>956</v>
      </c>
      <c r="B165" s="9">
        <f ca="1">+IF(A165=WORLDCUP!$BI$112,1,0)</f>
        <v>0</v>
      </c>
      <c r="C165" s="9" t="str">
        <f ca="1">+WORLDCUP!BD65</f>
        <v>Saudi Arabia</v>
      </c>
      <c r="D165" s="9" t="str">
        <f ca="1">+WORLDCUP!BD64</f>
        <v>Egypt</v>
      </c>
      <c r="E165" s="9" t="str">
        <f ca="1">+WORLDCUP!BD59</f>
        <v>Switzerland</v>
      </c>
      <c r="F165" s="9" t="str">
        <f ca="1">+WORLDCUP!BD60</f>
        <v>Scotland</v>
      </c>
      <c r="G165" s="9" t="str">
        <f ca="1">+WORLDCUP!BD67</f>
        <v>Algeria</v>
      </c>
      <c r="H165" s="9" t="str">
        <f ca="1">+WORLDCUP!BD63</f>
        <v>Tunisia</v>
      </c>
      <c r="I165" s="9" t="str">
        <f ca="1">+WORLDCUP!BD61</f>
        <v>Australia</v>
      </c>
      <c r="J165" s="9" t="str">
        <f ca="1">+WORLDCUP!BD62</f>
        <v>Ivory Coast</v>
      </c>
      <c r="N165" s="16" t="s">
        <v>956</v>
      </c>
      <c r="O165" s="16">
        <v>164</v>
      </c>
      <c r="P165" s="16" t="s">
        <v>118</v>
      </c>
      <c r="Q165" s="16" t="s">
        <v>113</v>
      </c>
      <c r="R165" s="16" t="s">
        <v>91</v>
      </c>
      <c r="S165" s="16" t="s">
        <v>95</v>
      </c>
      <c r="T165" s="16" t="s">
        <v>127</v>
      </c>
      <c r="U165" s="16" t="s">
        <v>109</v>
      </c>
      <c r="V165" s="16" t="s">
        <v>100</v>
      </c>
      <c r="W165" s="16" t="s">
        <v>104</v>
      </c>
    </row>
    <row r="166" spans="1:23">
      <c r="A166" s="9" t="s">
        <v>957</v>
      </c>
      <c r="B166" s="9">
        <f ca="1">+IF(A166=WORLDCUP!$BI$112,1,0)</f>
        <v>0</v>
      </c>
      <c r="C166" s="9" t="str">
        <f ca="1">+WORLDCUP!BD60</f>
        <v>Scotland</v>
      </c>
      <c r="D166" s="9" t="str">
        <f ca="1">+WORLDCUP!BD64</f>
        <v>Egypt</v>
      </c>
      <c r="E166" s="9" t="str">
        <f ca="1">+WORLDCUP!BD59</f>
        <v>Switzerland</v>
      </c>
      <c r="F166" s="9" t="str">
        <f ca="1">+WORLDCUP!BD61</f>
        <v>Australia</v>
      </c>
      <c r="G166" s="9" t="str">
        <f ca="1">+WORLDCUP!BD65</f>
        <v>Saudi Arabia</v>
      </c>
      <c r="H166" s="9" t="str">
        <f ca="1">+WORLDCUP!BD63</f>
        <v>Tunisia</v>
      </c>
      <c r="I166" s="9" t="str">
        <f ca="1">+WORLDCUP!BD62</f>
        <v>Ivory Coast</v>
      </c>
      <c r="J166" s="9" t="str">
        <f ca="1">+WORLDCUP!BD66</f>
        <v>Norway</v>
      </c>
      <c r="N166" s="16" t="s">
        <v>957</v>
      </c>
      <c r="O166" s="16">
        <v>165</v>
      </c>
      <c r="P166" s="16" t="s">
        <v>95</v>
      </c>
      <c r="Q166" s="16" t="s">
        <v>113</v>
      </c>
      <c r="R166" s="16" t="s">
        <v>91</v>
      </c>
      <c r="S166" s="16" t="s">
        <v>100</v>
      </c>
      <c r="T166" s="16" t="s">
        <v>118</v>
      </c>
      <c r="U166" s="16" t="s">
        <v>109</v>
      </c>
      <c r="V166" s="16" t="s">
        <v>104</v>
      </c>
      <c r="W166" s="16" t="s">
        <v>122</v>
      </c>
    </row>
    <row r="167" spans="1:23">
      <c r="A167" s="9" t="s">
        <v>958</v>
      </c>
      <c r="B167" s="9">
        <f ca="1">+IF(A167=WORLDCUP!$BI$112,1,0)</f>
        <v>0</v>
      </c>
      <c r="C167" s="9" t="str">
        <f ca="1">+WORLDCUP!BD65</f>
        <v>Saudi Arabia</v>
      </c>
      <c r="D167" s="9" t="str">
        <f ca="1">+WORLDCUP!BD67</f>
        <v>Algeria</v>
      </c>
      <c r="E167" s="9" t="str">
        <f ca="1">+WORLDCUP!BD66</f>
        <v>Norway</v>
      </c>
      <c r="F167" s="9" t="str">
        <f ca="1">+WORLDCUP!BD63</f>
        <v>Tunisia</v>
      </c>
      <c r="G167" s="9" t="str">
        <f ca="1">+WORLDCUP!BD58</f>
        <v>South Korea</v>
      </c>
      <c r="H167" s="9" t="str">
        <f ca="1">+WORLDCUP!BD64</f>
        <v>Egypt</v>
      </c>
      <c r="I167" s="9" t="str">
        <f ca="1">+WORLDCUP!BD69</f>
        <v>Croatia</v>
      </c>
      <c r="J167" s="9" t="str">
        <f ca="1">+WORLDCUP!BD68</f>
        <v>DR Congo</v>
      </c>
      <c r="N167" s="16" t="s">
        <v>958</v>
      </c>
      <c r="O167" s="16">
        <v>166</v>
      </c>
      <c r="P167" s="16" t="s">
        <v>118</v>
      </c>
      <c r="Q167" s="16" t="s">
        <v>127</v>
      </c>
      <c r="R167" s="16" t="s">
        <v>122</v>
      </c>
      <c r="S167" s="16" t="s">
        <v>109</v>
      </c>
      <c r="T167" s="16" t="s">
        <v>86</v>
      </c>
      <c r="U167" s="16" t="s">
        <v>113</v>
      </c>
      <c r="V167" s="16" t="s">
        <v>136</v>
      </c>
      <c r="W167" s="16" t="s">
        <v>131</v>
      </c>
    </row>
    <row r="168" spans="1:23">
      <c r="A168" s="9" t="s">
        <v>959</v>
      </c>
      <c r="B168" s="9">
        <f ca="1">+IF(A168=WORLDCUP!$BI$112,1,0)</f>
        <v>0</v>
      </c>
      <c r="C168" s="9" t="str">
        <f ca="1">+WORLDCUP!BD62</f>
        <v>Ivory Coast</v>
      </c>
      <c r="D168" s="9" t="str">
        <f ca="1">+WORLDCUP!BD67</f>
        <v>Algeria</v>
      </c>
      <c r="E168" s="9" t="str">
        <f ca="1">+WORLDCUP!BD66</f>
        <v>Norway</v>
      </c>
      <c r="F168" s="9" t="str">
        <f ca="1">+WORLDCUP!BD58</f>
        <v>South Korea</v>
      </c>
      <c r="G168" s="9" t="str">
        <f ca="1">+WORLDCUP!BD65</f>
        <v>Saudi Arabia</v>
      </c>
      <c r="H168" s="9" t="str">
        <f ca="1">+WORLDCUP!BD64</f>
        <v>Egypt</v>
      </c>
      <c r="I168" s="9" t="str">
        <f ca="1">+WORLDCUP!BD69</f>
        <v>Croatia</v>
      </c>
      <c r="J168" s="9" t="str">
        <f ca="1">+WORLDCUP!BD68</f>
        <v>DR Congo</v>
      </c>
      <c r="N168" s="16" t="s">
        <v>959</v>
      </c>
      <c r="O168" s="16">
        <v>167</v>
      </c>
      <c r="P168" s="16" t="s">
        <v>104</v>
      </c>
      <c r="Q168" s="16" t="s">
        <v>127</v>
      </c>
      <c r="R168" s="16" t="s">
        <v>122</v>
      </c>
      <c r="S168" s="16" t="s">
        <v>86</v>
      </c>
      <c r="T168" s="16" t="s">
        <v>118</v>
      </c>
      <c r="U168" s="16" t="s">
        <v>113</v>
      </c>
      <c r="V168" s="16" t="s">
        <v>136</v>
      </c>
      <c r="W168" s="16" t="s">
        <v>131</v>
      </c>
    </row>
    <row r="169" spans="1:23">
      <c r="A169" s="9" t="s">
        <v>960</v>
      </c>
      <c r="B169" s="9">
        <f ca="1">+IF(A169=WORLDCUP!$BI$112,1,0)</f>
        <v>0</v>
      </c>
      <c r="C169" s="9" t="str">
        <f ca="1">+WORLDCUP!BD62</f>
        <v>Ivory Coast</v>
      </c>
      <c r="D169" s="9" t="str">
        <f ca="1">+WORLDCUP!BD67</f>
        <v>Algeria</v>
      </c>
      <c r="E169" s="9" t="str">
        <f ca="1">+WORLDCUP!BD66</f>
        <v>Norway</v>
      </c>
      <c r="F169" s="9" t="str">
        <f ca="1">+WORLDCUP!BD63</f>
        <v>Tunisia</v>
      </c>
      <c r="G169" s="9" t="str">
        <f ca="1">+WORLDCUP!BD58</f>
        <v>South Korea</v>
      </c>
      <c r="H169" s="9" t="str">
        <f ca="1">+WORLDCUP!BD65</f>
        <v>Saudi Arabia</v>
      </c>
      <c r="I169" s="9" t="str">
        <f ca="1">+WORLDCUP!BD69</f>
        <v>Croatia</v>
      </c>
      <c r="J169" s="9" t="str">
        <f ca="1">+WORLDCUP!BD68</f>
        <v>DR Congo</v>
      </c>
      <c r="N169" s="16" t="s">
        <v>960</v>
      </c>
      <c r="O169" s="16">
        <v>168</v>
      </c>
      <c r="P169" s="16" t="s">
        <v>104</v>
      </c>
      <c r="Q169" s="16" t="s">
        <v>127</v>
      </c>
      <c r="R169" s="16" t="s">
        <v>122</v>
      </c>
      <c r="S169" s="16" t="s">
        <v>109</v>
      </c>
      <c r="T169" s="16" t="s">
        <v>86</v>
      </c>
      <c r="U169" s="16" t="s">
        <v>118</v>
      </c>
      <c r="V169" s="16" t="s">
        <v>136</v>
      </c>
      <c r="W169" s="16" t="s">
        <v>131</v>
      </c>
    </row>
    <row r="170" spans="1:23">
      <c r="A170" s="9" t="s">
        <v>961</v>
      </c>
      <c r="B170" s="9">
        <f ca="1">+IF(A170=WORLDCUP!$BI$112,1,0)</f>
        <v>0</v>
      </c>
      <c r="C170" s="9" t="str">
        <f ca="1">+WORLDCUP!BD62</f>
        <v>Ivory Coast</v>
      </c>
      <c r="D170" s="9" t="str">
        <f ca="1">+WORLDCUP!BD67</f>
        <v>Algeria</v>
      </c>
      <c r="E170" s="9" t="str">
        <f ca="1">+WORLDCUP!BD66</f>
        <v>Norway</v>
      </c>
      <c r="F170" s="9" t="str">
        <f ca="1">+WORLDCUP!BD63</f>
        <v>Tunisia</v>
      </c>
      <c r="G170" s="9" t="str">
        <f ca="1">+WORLDCUP!BD58</f>
        <v>South Korea</v>
      </c>
      <c r="H170" s="9" t="str">
        <f ca="1">+WORLDCUP!BD64</f>
        <v>Egypt</v>
      </c>
      <c r="I170" s="9" t="str">
        <f ca="1">+WORLDCUP!BD69</f>
        <v>Croatia</v>
      </c>
      <c r="J170" s="9" t="str">
        <f ca="1">+WORLDCUP!BD68</f>
        <v>DR Congo</v>
      </c>
      <c r="N170" s="16" t="s">
        <v>961</v>
      </c>
      <c r="O170" s="16">
        <v>169</v>
      </c>
      <c r="P170" s="16" t="s">
        <v>104</v>
      </c>
      <c r="Q170" s="16" t="s">
        <v>127</v>
      </c>
      <c r="R170" s="16" t="s">
        <v>122</v>
      </c>
      <c r="S170" s="16" t="s">
        <v>109</v>
      </c>
      <c r="T170" s="16" t="s">
        <v>86</v>
      </c>
      <c r="U170" s="16" t="s">
        <v>113</v>
      </c>
      <c r="V170" s="16" t="s">
        <v>136</v>
      </c>
      <c r="W170" s="16" t="s">
        <v>131</v>
      </c>
    </row>
    <row r="171" spans="1:23">
      <c r="A171" s="9" t="s">
        <v>962</v>
      </c>
      <c r="B171" s="9">
        <f ca="1">+IF(A171=WORLDCUP!$BI$112,1,0)</f>
        <v>0</v>
      </c>
      <c r="C171" s="9" t="str">
        <f ca="1">+WORLDCUP!BD62</f>
        <v>Ivory Coast</v>
      </c>
      <c r="D171" s="9" t="str">
        <f ca="1">+WORLDCUP!BD64</f>
        <v>Egypt</v>
      </c>
      <c r="E171" s="9" t="str">
        <f ca="1">+WORLDCUP!BD67</f>
        <v>Algeria</v>
      </c>
      <c r="F171" s="9" t="str">
        <f ca="1">+WORLDCUP!BD63</f>
        <v>Tunisia</v>
      </c>
      <c r="G171" s="9" t="str">
        <f ca="1">+WORLDCUP!BD58</f>
        <v>South Korea</v>
      </c>
      <c r="H171" s="9" t="str">
        <f ca="1">+WORLDCUP!BD65</f>
        <v>Saudi Arabia</v>
      </c>
      <c r="I171" s="9" t="str">
        <f ca="1">+WORLDCUP!BD69</f>
        <v>Croatia</v>
      </c>
      <c r="J171" s="9" t="str">
        <f ca="1">+WORLDCUP!BD68</f>
        <v>DR Congo</v>
      </c>
      <c r="N171" s="16" t="s">
        <v>962</v>
      </c>
      <c r="O171" s="16">
        <v>170</v>
      </c>
      <c r="P171" s="16" t="s">
        <v>104</v>
      </c>
      <c r="Q171" s="16" t="s">
        <v>113</v>
      </c>
      <c r="R171" s="16" t="s">
        <v>127</v>
      </c>
      <c r="S171" s="16" t="s">
        <v>109</v>
      </c>
      <c r="T171" s="16" t="s">
        <v>86</v>
      </c>
      <c r="U171" s="16" t="s">
        <v>118</v>
      </c>
      <c r="V171" s="16" t="s">
        <v>136</v>
      </c>
      <c r="W171" s="16" t="s">
        <v>131</v>
      </c>
    </row>
    <row r="172" spans="1:23">
      <c r="A172" s="9" t="s">
        <v>963</v>
      </c>
      <c r="B172" s="9">
        <f ca="1">+IF(A172=WORLDCUP!$BI$112,1,0)</f>
        <v>0</v>
      </c>
      <c r="C172" s="9" t="str">
        <f ca="1">+WORLDCUP!BD62</f>
        <v>Ivory Coast</v>
      </c>
      <c r="D172" s="9" t="str">
        <f ca="1">+WORLDCUP!BD64</f>
        <v>Egypt</v>
      </c>
      <c r="E172" s="9" t="str">
        <f ca="1">+WORLDCUP!BD66</f>
        <v>Norway</v>
      </c>
      <c r="F172" s="9" t="str">
        <f ca="1">+WORLDCUP!BD63</f>
        <v>Tunisia</v>
      </c>
      <c r="G172" s="9" t="str">
        <f ca="1">+WORLDCUP!BD58</f>
        <v>South Korea</v>
      </c>
      <c r="H172" s="9" t="str">
        <f ca="1">+WORLDCUP!BD65</f>
        <v>Saudi Arabia</v>
      </c>
      <c r="I172" s="9" t="str">
        <f ca="1">+WORLDCUP!BD69</f>
        <v>Croatia</v>
      </c>
      <c r="J172" s="9" t="str">
        <f ca="1">+WORLDCUP!BD68</f>
        <v>DR Congo</v>
      </c>
      <c r="N172" s="16" t="s">
        <v>963</v>
      </c>
      <c r="O172" s="16">
        <v>171</v>
      </c>
      <c r="P172" s="16" t="s">
        <v>104</v>
      </c>
      <c r="Q172" s="16" t="s">
        <v>113</v>
      </c>
      <c r="R172" s="16" t="s">
        <v>122</v>
      </c>
      <c r="S172" s="16" t="s">
        <v>109</v>
      </c>
      <c r="T172" s="16" t="s">
        <v>86</v>
      </c>
      <c r="U172" s="16" t="s">
        <v>118</v>
      </c>
      <c r="V172" s="16" t="s">
        <v>136</v>
      </c>
      <c r="W172" s="16" t="s">
        <v>131</v>
      </c>
    </row>
    <row r="173" spans="1:23">
      <c r="A173" s="9" t="s">
        <v>964</v>
      </c>
      <c r="B173" s="9">
        <f ca="1">+IF(A173=WORLDCUP!$BI$112,1,0)</f>
        <v>0</v>
      </c>
      <c r="C173" s="9" t="str">
        <f ca="1">+WORLDCUP!BD62</f>
        <v>Ivory Coast</v>
      </c>
      <c r="D173" s="9" t="str">
        <f ca="1">+WORLDCUP!BD64</f>
        <v>Egypt</v>
      </c>
      <c r="E173" s="9" t="str">
        <f ca="1">+WORLDCUP!BD67</f>
        <v>Algeria</v>
      </c>
      <c r="F173" s="9" t="str">
        <f ca="1">+WORLDCUP!BD63</f>
        <v>Tunisia</v>
      </c>
      <c r="G173" s="9" t="str">
        <f ca="1">+WORLDCUP!BD58</f>
        <v>South Korea</v>
      </c>
      <c r="H173" s="9" t="str">
        <f ca="1">+WORLDCUP!BD65</f>
        <v>Saudi Arabia</v>
      </c>
      <c r="I173" s="9" t="str">
        <f ca="1">+WORLDCUP!BD69</f>
        <v>Croatia</v>
      </c>
      <c r="J173" s="9" t="str">
        <f ca="1">+WORLDCUP!BD66</f>
        <v>Norway</v>
      </c>
      <c r="N173" s="16" t="s">
        <v>964</v>
      </c>
      <c r="O173" s="16">
        <v>172</v>
      </c>
      <c r="P173" s="16" t="s">
        <v>104</v>
      </c>
      <c r="Q173" s="16" t="s">
        <v>113</v>
      </c>
      <c r="R173" s="16" t="s">
        <v>127</v>
      </c>
      <c r="S173" s="16" t="s">
        <v>109</v>
      </c>
      <c r="T173" s="16" t="s">
        <v>86</v>
      </c>
      <c r="U173" s="16" t="s">
        <v>118</v>
      </c>
      <c r="V173" s="16" t="s">
        <v>136</v>
      </c>
      <c r="W173" s="16" t="s">
        <v>122</v>
      </c>
    </row>
    <row r="174" spans="1:23">
      <c r="A174" s="9" t="s">
        <v>965</v>
      </c>
      <c r="B174" s="9">
        <f ca="1">+IF(A174=WORLDCUP!$BI$112,1,0)</f>
        <v>0</v>
      </c>
      <c r="C174" s="9" t="str">
        <f ca="1">+WORLDCUP!BD62</f>
        <v>Ivory Coast</v>
      </c>
      <c r="D174" s="9" t="str">
        <f ca="1">+WORLDCUP!BD64</f>
        <v>Egypt</v>
      </c>
      <c r="E174" s="9" t="str">
        <f ca="1">+WORLDCUP!BD67</f>
        <v>Algeria</v>
      </c>
      <c r="F174" s="9" t="str">
        <f ca="1">+WORLDCUP!BD63</f>
        <v>Tunisia</v>
      </c>
      <c r="G174" s="9" t="str">
        <f ca="1">+WORLDCUP!BD58</f>
        <v>South Korea</v>
      </c>
      <c r="H174" s="9" t="str">
        <f ca="1">+WORLDCUP!BD65</f>
        <v>Saudi Arabia</v>
      </c>
      <c r="I174" s="9" t="str">
        <f ca="1">+WORLDCUP!BD66</f>
        <v>Norway</v>
      </c>
      <c r="J174" s="9" t="str">
        <f ca="1">+WORLDCUP!BD68</f>
        <v>DR Congo</v>
      </c>
      <c r="N174" s="16" t="s">
        <v>965</v>
      </c>
      <c r="O174" s="16">
        <v>173</v>
      </c>
      <c r="P174" s="16" t="s">
        <v>104</v>
      </c>
      <c r="Q174" s="16" t="s">
        <v>113</v>
      </c>
      <c r="R174" s="16" t="s">
        <v>127</v>
      </c>
      <c r="S174" s="16" t="s">
        <v>109</v>
      </c>
      <c r="T174" s="16" t="s">
        <v>86</v>
      </c>
      <c r="U174" s="16" t="s">
        <v>118</v>
      </c>
      <c r="V174" s="16" t="s">
        <v>122</v>
      </c>
      <c r="W174" s="16" t="s">
        <v>131</v>
      </c>
    </row>
    <row r="175" spans="1:23">
      <c r="A175" s="9" t="s">
        <v>966</v>
      </c>
      <c r="B175" s="9">
        <f ca="1">+IF(A175=WORLDCUP!$BI$112,1,0)</f>
        <v>0</v>
      </c>
      <c r="C175" s="9" t="str">
        <f ca="1">+WORLDCUP!BD65</f>
        <v>Saudi Arabia</v>
      </c>
      <c r="D175" s="9" t="str">
        <f ca="1">+WORLDCUP!BD67</f>
        <v>Algeria</v>
      </c>
      <c r="E175" s="9" t="str">
        <f ca="1">+WORLDCUP!BD66</f>
        <v>Norway</v>
      </c>
      <c r="F175" s="9" t="str">
        <f ca="1">+WORLDCUP!BD61</f>
        <v>Australia</v>
      </c>
      <c r="G175" s="9" t="str">
        <f ca="1">+WORLDCUP!BD58</f>
        <v>South Korea</v>
      </c>
      <c r="H175" s="9" t="str">
        <f ca="1">+WORLDCUP!BD64</f>
        <v>Egypt</v>
      </c>
      <c r="I175" s="9" t="str">
        <f ca="1">+WORLDCUP!BD69</f>
        <v>Croatia</v>
      </c>
      <c r="J175" s="9" t="str">
        <f ca="1">+WORLDCUP!BD68</f>
        <v>DR Congo</v>
      </c>
      <c r="N175" s="16" t="s">
        <v>966</v>
      </c>
      <c r="O175" s="16">
        <v>174</v>
      </c>
      <c r="P175" s="16" t="s">
        <v>118</v>
      </c>
      <c r="Q175" s="16" t="s">
        <v>127</v>
      </c>
      <c r="R175" s="16" t="s">
        <v>122</v>
      </c>
      <c r="S175" s="16" t="s">
        <v>100</v>
      </c>
      <c r="T175" s="16" t="s">
        <v>86</v>
      </c>
      <c r="U175" s="16" t="s">
        <v>113</v>
      </c>
      <c r="V175" s="16" t="s">
        <v>136</v>
      </c>
      <c r="W175" s="16" t="s">
        <v>131</v>
      </c>
    </row>
    <row r="176" spans="1:23">
      <c r="A176" s="9" t="s">
        <v>967</v>
      </c>
      <c r="B176" s="9">
        <f ca="1">+IF(A176=WORLDCUP!$BI$112,1,0)</f>
        <v>0</v>
      </c>
      <c r="C176" s="9" t="str">
        <f ca="1">+WORLDCUP!BD65</f>
        <v>Saudi Arabia</v>
      </c>
      <c r="D176" s="9" t="str">
        <f ca="1">+WORLDCUP!BD67</f>
        <v>Algeria</v>
      </c>
      <c r="E176" s="9" t="str">
        <f ca="1">+WORLDCUP!BD66</f>
        <v>Norway</v>
      </c>
      <c r="F176" s="9" t="str">
        <f ca="1">+WORLDCUP!BD61</f>
        <v>Australia</v>
      </c>
      <c r="G176" s="9" t="str">
        <f ca="1">+WORLDCUP!BD58</f>
        <v>South Korea</v>
      </c>
      <c r="H176" s="9" t="str">
        <f ca="1">+WORLDCUP!BD63</f>
        <v>Tunisia</v>
      </c>
      <c r="I176" s="9" t="str">
        <f ca="1">+WORLDCUP!BD69</f>
        <v>Croatia</v>
      </c>
      <c r="J176" s="9" t="str">
        <f ca="1">+WORLDCUP!BD68</f>
        <v>DR Congo</v>
      </c>
      <c r="N176" s="16" t="s">
        <v>967</v>
      </c>
      <c r="O176" s="16">
        <v>175</v>
      </c>
      <c r="P176" s="16" t="s">
        <v>118</v>
      </c>
      <c r="Q176" s="16" t="s">
        <v>127</v>
      </c>
      <c r="R176" s="16" t="s">
        <v>122</v>
      </c>
      <c r="S176" s="16" t="s">
        <v>100</v>
      </c>
      <c r="T176" s="16" t="s">
        <v>86</v>
      </c>
      <c r="U176" s="16" t="s">
        <v>109</v>
      </c>
      <c r="V176" s="16" t="s">
        <v>136</v>
      </c>
      <c r="W176" s="16" t="s">
        <v>131</v>
      </c>
    </row>
    <row r="177" spans="1:23">
      <c r="A177" s="9" t="s">
        <v>968</v>
      </c>
      <c r="B177" s="9">
        <f ca="1">+IF(A177=WORLDCUP!$BI$112,1,0)</f>
        <v>0</v>
      </c>
      <c r="C177" s="9" t="str">
        <f ca="1">+WORLDCUP!BD66</f>
        <v>Norway</v>
      </c>
      <c r="D177" s="9" t="str">
        <f ca="1">+WORLDCUP!BD64</f>
        <v>Egypt</v>
      </c>
      <c r="E177" s="9" t="str">
        <f ca="1">+WORLDCUP!BD67</f>
        <v>Algeria</v>
      </c>
      <c r="F177" s="9" t="str">
        <f ca="1">+WORLDCUP!BD61</f>
        <v>Australia</v>
      </c>
      <c r="G177" s="9" t="str">
        <f ca="1">+WORLDCUP!BD58</f>
        <v>South Korea</v>
      </c>
      <c r="H177" s="9" t="str">
        <f ca="1">+WORLDCUP!BD63</f>
        <v>Tunisia</v>
      </c>
      <c r="I177" s="9" t="str">
        <f ca="1">+WORLDCUP!BD69</f>
        <v>Croatia</v>
      </c>
      <c r="J177" s="9" t="str">
        <f ca="1">+WORLDCUP!BD68</f>
        <v>DR Congo</v>
      </c>
      <c r="N177" s="16" t="s">
        <v>968</v>
      </c>
      <c r="O177" s="16">
        <v>176</v>
      </c>
      <c r="P177" s="16" t="s">
        <v>122</v>
      </c>
      <c r="Q177" s="16" t="s">
        <v>113</v>
      </c>
      <c r="R177" s="16" t="s">
        <v>127</v>
      </c>
      <c r="S177" s="16" t="s">
        <v>100</v>
      </c>
      <c r="T177" s="16" t="s">
        <v>86</v>
      </c>
      <c r="U177" s="16" t="s">
        <v>109</v>
      </c>
      <c r="V177" s="16" t="s">
        <v>136</v>
      </c>
      <c r="W177" s="16" t="s">
        <v>131</v>
      </c>
    </row>
    <row r="178" spans="1:23">
      <c r="A178" s="9" t="s">
        <v>969</v>
      </c>
      <c r="B178" s="9">
        <f ca="1">+IF(A178=WORLDCUP!$BI$112,1,0)</f>
        <v>0</v>
      </c>
      <c r="C178" s="9" t="str">
        <f ca="1">+WORLDCUP!BD65</f>
        <v>Saudi Arabia</v>
      </c>
      <c r="D178" s="9" t="str">
        <f ca="1">+WORLDCUP!BD64</f>
        <v>Egypt</v>
      </c>
      <c r="E178" s="9" t="str">
        <f ca="1">+WORLDCUP!BD67</f>
        <v>Algeria</v>
      </c>
      <c r="F178" s="9" t="str">
        <f ca="1">+WORLDCUP!BD61</f>
        <v>Australia</v>
      </c>
      <c r="G178" s="9" t="str">
        <f ca="1">+WORLDCUP!BD58</f>
        <v>South Korea</v>
      </c>
      <c r="H178" s="9" t="str">
        <f ca="1">+WORLDCUP!BD63</f>
        <v>Tunisia</v>
      </c>
      <c r="I178" s="9" t="str">
        <f ca="1">+WORLDCUP!BD69</f>
        <v>Croatia</v>
      </c>
      <c r="J178" s="9" t="str">
        <f ca="1">+WORLDCUP!BD68</f>
        <v>DR Congo</v>
      </c>
      <c r="N178" s="16" t="s">
        <v>969</v>
      </c>
      <c r="O178" s="16">
        <v>177</v>
      </c>
      <c r="P178" s="16" t="s">
        <v>118</v>
      </c>
      <c r="Q178" s="16" t="s">
        <v>113</v>
      </c>
      <c r="R178" s="16" t="s">
        <v>127</v>
      </c>
      <c r="S178" s="16" t="s">
        <v>100</v>
      </c>
      <c r="T178" s="16" t="s">
        <v>86</v>
      </c>
      <c r="U178" s="16" t="s">
        <v>109</v>
      </c>
      <c r="V178" s="16" t="s">
        <v>136</v>
      </c>
      <c r="W178" s="16" t="s">
        <v>131</v>
      </c>
    </row>
    <row r="179" spans="1:23">
      <c r="A179" s="9" t="s">
        <v>970</v>
      </c>
      <c r="B179" s="9">
        <f ca="1">+IF(A179=WORLDCUP!$BI$112,1,0)</f>
        <v>0</v>
      </c>
      <c r="C179" s="9" t="str">
        <f ca="1">+WORLDCUP!BD65</f>
        <v>Saudi Arabia</v>
      </c>
      <c r="D179" s="9" t="str">
        <f ca="1">+WORLDCUP!BD64</f>
        <v>Egypt</v>
      </c>
      <c r="E179" s="9" t="str">
        <f ca="1">+WORLDCUP!BD66</f>
        <v>Norway</v>
      </c>
      <c r="F179" s="9" t="str">
        <f ca="1">+WORLDCUP!BD61</f>
        <v>Australia</v>
      </c>
      <c r="G179" s="9" t="str">
        <f ca="1">+WORLDCUP!BD58</f>
        <v>South Korea</v>
      </c>
      <c r="H179" s="9" t="str">
        <f ca="1">+WORLDCUP!BD63</f>
        <v>Tunisia</v>
      </c>
      <c r="I179" s="9" t="str">
        <f ca="1">+WORLDCUP!BD69</f>
        <v>Croatia</v>
      </c>
      <c r="J179" s="9" t="str">
        <f ca="1">+WORLDCUP!BD68</f>
        <v>DR Congo</v>
      </c>
      <c r="N179" s="16" t="s">
        <v>970</v>
      </c>
      <c r="O179" s="16">
        <v>178</v>
      </c>
      <c r="P179" s="16" t="s">
        <v>118</v>
      </c>
      <c r="Q179" s="16" t="s">
        <v>113</v>
      </c>
      <c r="R179" s="16" t="s">
        <v>122</v>
      </c>
      <c r="S179" s="16" t="s">
        <v>100</v>
      </c>
      <c r="T179" s="16" t="s">
        <v>86</v>
      </c>
      <c r="U179" s="16" t="s">
        <v>109</v>
      </c>
      <c r="V179" s="16" t="s">
        <v>136</v>
      </c>
      <c r="W179" s="16" t="s">
        <v>131</v>
      </c>
    </row>
    <row r="180" spans="1:23">
      <c r="A180" s="9" t="s">
        <v>971</v>
      </c>
      <c r="B180" s="9">
        <f ca="1">+IF(A180=WORLDCUP!$BI$112,1,0)</f>
        <v>0</v>
      </c>
      <c r="C180" s="9" t="str">
        <f ca="1">+WORLDCUP!BD65</f>
        <v>Saudi Arabia</v>
      </c>
      <c r="D180" s="9" t="str">
        <f ca="1">+WORLDCUP!BD64</f>
        <v>Egypt</v>
      </c>
      <c r="E180" s="9" t="str">
        <f ca="1">+WORLDCUP!BD67</f>
        <v>Algeria</v>
      </c>
      <c r="F180" s="9" t="str">
        <f ca="1">+WORLDCUP!BD61</f>
        <v>Australia</v>
      </c>
      <c r="G180" s="9" t="str">
        <f ca="1">+WORLDCUP!BD58</f>
        <v>South Korea</v>
      </c>
      <c r="H180" s="9" t="str">
        <f ca="1">+WORLDCUP!BD63</f>
        <v>Tunisia</v>
      </c>
      <c r="I180" s="9" t="str">
        <f ca="1">+WORLDCUP!BD69</f>
        <v>Croatia</v>
      </c>
      <c r="J180" s="9" t="str">
        <f ca="1">+WORLDCUP!BD66</f>
        <v>Norway</v>
      </c>
      <c r="N180" s="16" t="s">
        <v>971</v>
      </c>
      <c r="O180" s="16">
        <v>179</v>
      </c>
      <c r="P180" s="16" t="s">
        <v>118</v>
      </c>
      <c r="Q180" s="16" t="s">
        <v>113</v>
      </c>
      <c r="R180" s="16" t="s">
        <v>127</v>
      </c>
      <c r="S180" s="16" t="s">
        <v>100</v>
      </c>
      <c r="T180" s="16" t="s">
        <v>86</v>
      </c>
      <c r="U180" s="16" t="s">
        <v>109</v>
      </c>
      <c r="V180" s="16" t="s">
        <v>136</v>
      </c>
      <c r="W180" s="16" t="s">
        <v>122</v>
      </c>
    </row>
    <row r="181" spans="1:23">
      <c r="A181" s="9" t="s">
        <v>972</v>
      </c>
      <c r="B181" s="9">
        <f ca="1">+IF(A181=WORLDCUP!$BI$112,1,0)</f>
        <v>0</v>
      </c>
      <c r="C181" s="9" t="str">
        <f ca="1">+WORLDCUP!BD65</f>
        <v>Saudi Arabia</v>
      </c>
      <c r="D181" s="9" t="str">
        <f ca="1">+WORLDCUP!BD64</f>
        <v>Egypt</v>
      </c>
      <c r="E181" s="9" t="str">
        <f ca="1">+WORLDCUP!BD67</f>
        <v>Algeria</v>
      </c>
      <c r="F181" s="9" t="str">
        <f ca="1">+WORLDCUP!BD61</f>
        <v>Australia</v>
      </c>
      <c r="G181" s="9" t="str">
        <f ca="1">+WORLDCUP!BD58</f>
        <v>South Korea</v>
      </c>
      <c r="H181" s="9" t="str">
        <f ca="1">+WORLDCUP!BD63</f>
        <v>Tunisia</v>
      </c>
      <c r="I181" s="9" t="str">
        <f ca="1">+WORLDCUP!BD66</f>
        <v>Norway</v>
      </c>
      <c r="J181" s="9" t="str">
        <f ca="1">+WORLDCUP!BD68</f>
        <v>DR Congo</v>
      </c>
      <c r="N181" s="16" t="s">
        <v>972</v>
      </c>
      <c r="O181" s="16">
        <v>180</v>
      </c>
      <c r="P181" s="16" t="s">
        <v>118</v>
      </c>
      <c r="Q181" s="16" t="s">
        <v>113</v>
      </c>
      <c r="R181" s="16" t="s">
        <v>127</v>
      </c>
      <c r="S181" s="16" t="s">
        <v>100</v>
      </c>
      <c r="T181" s="16" t="s">
        <v>86</v>
      </c>
      <c r="U181" s="16" t="s">
        <v>109</v>
      </c>
      <c r="V181" s="16" t="s">
        <v>122</v>
      </c>
      <c r="W181" s="16" t="s">
        <v>131</v>
      </c>
    </row>
    <row r="182" spans="1:23">
      <c r="A182" s="9" t="s">
        <v>973</v>
      </c>
      <c r="B182" s="9">
        <f ca="1">+IF(A182=WORLDCUP!$BI$112,1,0)</f>
        <v>0</v>
      </c>
      <c r="C182" s="9" t="str">
        <f ca="1">+WORLDCUP!BD62</f>
        <v>Ivory Coast</v>
      </c>
      <c r="D182" s="9" t="str">
        <f ca="1">+WORLDCUP!BD67</f>
        <v>Algeria</v>
      </c>
      <c r="E182" s="9" t="str">
        <f ca="1">+WORLDCUP!BD66</f>
        <v>Norway</v>
      </c>
      <c r="F182" s="9" t="str">
        <f ca="1">+WORLDCUP!BD61</f>
        <v>Australia</v>
      </c>
      <c r="G182" s="9" t="str">
        <f ca="1">+WORLDCUP!BD58</f>
        <v>South Korea</v>
      </c>
      <c r="H182" s="9" t="str">
        <f ca="1">+WORLDCUP!BD65</f>
        <v>Saudi Arabia</v>
      </c>
      <c r="I182" s="9" t="str">
        <f ca="1">+WORLDCUP!BD69</f>
        <v>Croatia</v>
      </c>
      <c r="J182" s="9" t="str">
        <f ca="1">+WORLDCUP!BD68</f>
        <v>DR Congo</v>
      </c>
      <c r="N182" s="16" t="s">
        <v>973</v>
      </c>
      <c r="O182" s="16">
        <v>181</v>
      </c>
      <c r="P182" s="16" t="s">
        <v>104</v>
      </c>
      <c r="Q182" s="16" t="s">
        <v>127</v>
      </c>
      <c r="R182" s="16" t="s">
        <v>122</v>
      </c>
      <c r="S182" s="16" t="s">
        <v>100</v>
      </c>
      <c r="T182" s="16" t="s">
        <v>86</v>
      </c>
      <c r="U182" s="16" t="s">
        <v>118</v>
      </c>
      <c r="V182" s="16" t="s">
        <v>136</v>
      </c>
      <c r="W182" s="16" t="s">
        <v>131</v>
      </c>
    </row>
    <row r="183" spans="1:23">
      <c r="A183" s="9" t="s">
        <v>974</v>
      </c>
      <c r="B183" s="9">
        <f ca="1">+IF(A183=WORLDCUP!$BI$112,1,0)</f>
        <v>0</v>
      </c>
      <c r="C183" s="9" t="str">
        <f ca="1">+WORLDCUP!BD62</f>
        <v>Ivory Coast</v>
      </c>
      <c r="D183" s="9" t="str">
        <f ca="1">+WORLDCUP!BD67</f>
        <v>Algeria</v>
      </c>
      <c r="E183" s="9" t="str">
        <f ca="1">+WORLDCUP!BD66</f>
        <v>Norway</v>
      </c>
      <c r="F183" s="9" t="str">
        <f ca="1">+WORLDCUP!BD61</f>
        <v>Australia</v>
      </c>
      <c r="G183" s="9" t="str">
        <f ca="1">+WORLDCUP!BD58</f>
        <v>South Korea</v>
      </c>
      <c r="H183" s="9" t="str">
        <f ca="1">+WORLDCUP!BD64</f>
        <v>Egypt</v>
      </c>
      <c r="I183" s="9" t="str">
        <f ca="1">+WORLDCUP!BD69</f>
        <v>Croatia</v>
      </c>
      <c r="J183" s="9" t="str">
        <f ca="1">+WORLDCUP!BD68</f>
        <v>DR Congo</v>
      </c>
      <c r="N183" s="16" t="s">
        <v>974</v>
      </c>
      <c r="O183" s="16">
        <v>182</v>
      </c>
      <c r="P183" s="16" t="s">
        <v>104</v>
      </c>
      <c r="Q183" s="16" t="s">
        <v>127</v>
      </c>
      <c r="R183" s="16" t="s">
        <v>122</v>
      </c>
      <c r="S183" s="16" t="s">
        <v>100</v>
      </c>
      <c r="T183" s="16" t="s">
        <v>86</v>
      </c>
      <c r="U183" s="16" t="s">
        <v>113</v>
      </c>
      <c r="V183" s="16" t="s">
        <v>136</v>
      </c>
      <c r="W183" s="16" t="s">
        <v>131</v>
      </c>
    </row>
    <row r="184" spans="1:23">
      <c r="A184" s="9" t="s">
        <v>975</v>
      </c>
      <c r="B184" s="9">
        <f ca="1">+IF(A184=WORLDCUP!$BI$112,1,0)</f>
        <v>0</v>
      </c>
      <c r="C184" s="9" t="str">
        <f ca="1">+WORLDCUP!BD62</f>
        <v>Ivory Coast</v>
      </c>
      <c r="D184" s="9" t="str">
        <f ca="1">+WORLDCUP!BD64</f>
        <v>Egypt</v>
      </c>
      <c r="E184" s="9" t="str">
        <f ca="1">+WORLDCUP!BD67</f>
        <v>Algeria</v>
      </c>
      <c r="F184" s="9" t="str">
        <f ca="1">+WORLDCUP!BD61</f>
        <v>Australia</v>
      </c>
      <c r="G184" s="9" t="str">
        <f ca="1">+WORLDCUP!BD58</f>
        <v>South Korea</v>
      </c>
      <c r="H184" s="9" t="str">
        <f ca="1">+WORLDCUP!BD65</f>
        <v>Saudi Arabia</v>
      </c>
      <c r="I184" s="9" t="str">
        <f ca="1">+WORLDCUP!BD69</f>
        <v>Croatia</v>
      </c>
      <c r="J184" s="9" t="str">
        <f ca="1">+WORLDCUP!BD68</f>
        <v>DR Congo</v>
      </c>
      <c r="N184" s="16" t="s">
        <v>975</v>
      </c>
      <c r="O184" s="16">
        <v>183</v>
      </c>
      <c r="P184" s="16" t="s">
        <v>104</v>
      </c>
      <c r="Q184" s="16" t="s">
        <v>113</v>
      </c>
      <c r="R184" s="16" t="s">
        <v>127</v>
      </c>
      <c r="S184" s="16" t="s">
        <v>100</v>
      </c>
      <c r="T184" s="16" t="s">
        <v>86</v>
      </c>
      <c r="U184" s="16" t="s">
        <v>118</v>
      </c>
      <c r="V184" s="16" t="s">
        <v>136</v>
      </c>
      <c r="W184" s="16" t="s">
        <v>131</v>
      </c>
    </row>
    <row r="185" spans="1:23">
      <c r="A185" s="9" t="s">
        <v>976</v>
      </c>
      <c r="B185" s="9">
        <f ca="1">+IF(A185=WORLDCUP!$BI$112,1,0)</f>
        <v>0</v>
      </c>
      <c r="C185" s="9" t="str">
        <f ca="1">+WORLDCUP!BD62</f>
        <v>Ivory Coast</v>
      </c>
      <c r="D185" s="9" t="str">
        <f ca="1">+WORLDCUP!BD64</f>
        <v>Egypt</v>
      </c>
      <c r="E185" s="9" t="str">
        <f ca="1">+WORLDCUP!BD66</f>
        <v>Norway</v>
      </c>
      <c r="F185" s="9" t="str">
        <f ca="1">+WORLDCUP!BD61</f>
        <v>Australia</v>
      </c>
      <c r="G185" s="9" t="str">
        <f ca="1">+WORLDCUP!BD58</f>
        <v>South Korea</v>
      </c>
      <c r="H185" s="9" t="str">
        <f ca="1">+WORLDCUP!BD65</f>
        <v>Saudi Arabia</v>
      </c>
      <c r="I185" s="9" t="str">
        <f ca="1">+WORLDCUP!BD69</f>
        <v>Croatia</v>
      </c>
      <c r="J185" s="9" t="str">
        <f ca="1">+WORLDCUP!BD68</f>
        <v>DR Congo</v>
      </c>
      <c r="N185" s="16" t="s">
        <v>976</v>
      </c>
      <c r="O185" s="16">
        <v>184</v>
      </c>
      <c r="P185" s="16" t="s">
        <v>104</v>
      </c>
      <c r="Q185" s="16" t="s">
        <v>113</v>
      </c>
      <c r="R185" s="16" t="s">
        <v>122</v>
      </c>
      <c r="S185" s="16" t="s">
        <v>100</v>
      </c>
      <c r="T185" s="16" t="s">
        <v>86</v>
      </c>
      <c r="U185" s="16" t="s">
        <v>118</v>
      </c>
      <c r="V185" s="16" t="s">
        <v>136</v>
      </c>
      <c r="W185" s="16" t="s">
        <v>131</v>
      </c>
    </row>
    <row r="186" spans="1:23">
      <c r="A186" s="9" t="s">
        <v>977</v>
      </c>
      <c r="B186" s="9">
        <f ca="1">+IF(A186=WORLDCUP!$BI$112,1,0)</f>
        <v>0</v>
      </c>
      <c r="C186" s="9" t="str">
        <f ca="1">+WORLDCUP!BD62</f>
        <v>Ivory Coast</v>
      </c>
      <c r="D186" s="9" t="str">
        <f ca="1">+WORLDCUP!BD64</f>
        <v>Egypt</v>
      </c>
      <c r="E186" s="9" t="str">
        <f ca="1">+WORLDCUP!BD67</f>
        <v>Algeria</v>
      </c>
      <c r="F186" s="9" t="str">
        <f ca="1">+WORLDCUP!BD61</f>
        <v>Australia</v>
      </c>
      <c r="G186" s="9" t="str">
        <f ca="1">+WORLDCUP!BD58</f>
        <v>South Korea</v>
      </c>
      <c r="H186" s="9" t="str">
        <f ca="1">+WORLDCUP!BD65</f>
        <v>Saudi Arabia</v>
      </c>
      <c r="I186" s="9" t="str">
        <f ca="1">+WORLDCUP!BD69</f>
        <v>Croatia</v>
      </c>
      <c r="J186" s="9" t="str">
        <f ca="1">+WORLDCUP!BD66</f>
        <v>Norway</v>
      </c>
      <c r="N186" s="16" t="s">
        <v>977</v>
      </c>
      <c r="O186" s="16">
        <v>185</v>
      </c>
      <c r="P186" s="16" t="s">
        <v>104</v>
      </c>
      <c r="Q186" s="16" t="s">
        <v>113</v>
      </c>
      <c r="R186" s="16" t="s">
        <v>127</v>
      </c>
      <c r="S186" s="16" t="s">
        <v>100</v>
      </c>
      <c r="T186" s="16" t="s">
        <v>86</v>
      </c>
      <c r="U186" s="16" t="s">
        <v>118</v>
      </c>
      <c r="V186" s="16" t="s">
        <v>136</v>
      </c>
      <c r="W186" s="16" t="s">
        <v>122</v>
      </c>
    </row>
    <row r="187" spans="1:23">
      <c r="A187" s="9" t="s">
        <v>978</v>
      </c>
      <c r="B187" s="9">
        <f ca="1">+IF(A187=WORLDCUP!$BI$112,1,0)</f>
        <v>0</v>
      </c>
      <c r="C187" s="9" t="str">
        <f ca="1">+WORLDCUP!BD62</f>
        <v>Ivory Coast</v>
      </c>
      <c r="D187" s="9" t="str">
        <f ca="1">+WORLDCUP!BD64</f>
        <v>Egypt</v>
      </c>
      <c r="E187" s="9" t="str">
        <f ca="1">+WORLDCUP!BD67</f>
        <v>Algeria</v>
      </c>
      <c r="F187" s="9" t="str">
        <f ca="1">+WORLDCUP!BD61</f>
        <v>Australia</v>
      </c>
      <c r="G187" s="9" t="str">
        <f ca="1">+WORLDCUP!BD58</f>
        <v>South Korea</v>
      </c>
      <c r="H187" s="9" t="str">
        <f ca="1">+WORLDCUP!BD65</f>
        <v>Saudi Arabia</v>
      </c>
      <c r="I187" s="9" t="str">
        <f ca="1">+WORLDCUP!BD66</f>
        <v>Norway</v>
      </c>
      <c r="J187" s="9" t="str">
        <f ca="1">+WORLDCUP!BD68</f>
        <v>DR Congo</v>
      </c>
      <c r="N187" s="16" t="s">
        <v>978</v>
      </c>
      <c r="O187" s="16">
        <v>186</v>
      </c>
      <c r="P187" s="16" t="s">
        <v>104</v>
      </c>
      <c r="Q187" s="16" t="s">
        <v>113</v>
      </c>
      <c r="R187" s="16" t="s">
        <v>127</v>
      </c>
      <c r="S187" s="16" t="s">
        <v>100</v>
      </c>
      <c r="T187" s="16" t="s">
        <v>86</v>
      </c>
      <c r="U187" s="16" t="s">
        <v>118</v>
      </c>
      <c r="V187" s="16" t="s">
        <v>122</v>
      </c>
      <c r="W187" s="16" t="s">
        <v>131</v>
      </c>
    </row>
    <row r="188" spans="1:23">
      <c r="A188" s="9" t="s">
        <v>979</v>
      </c>
      <c r="B188" s="9">
        <f ca="1">+IF(A188=WORLDCUP!$BI$112,1,0)</f>
        <v>0</v>
      </c>
      <c r="C188" s="9" t="str">
        <f ca="1">+WORLDCUP!BD62</f>
        <v>Ivory Coast</v>
      </c>
      <c r="D188" s="9" t="str">
        <f ca="1">+WORLDCUP!BD67</f>
        <v>Algeria</v>
      </c>
      <c r="E188" s="9" t="str">
        <f ca="1">+WORLDCUP!BD66</f>
        <v>Norway</v>
      </c>
      <c r="F188" s="9" t="str">
        <f ca="1">+WORLDCUP!BD61</f>
        <v>Australia</v>
      </c>
      <c r="G188" s="9" t="str">
        <f ca="1">+WORLDCUP!BD58</f>
        <v>South Korea</v>
      </c>
      <c r="H188" s="9" t="str">
        <f ca="1">+WORLDCUP!BD63</f>
        <v>Tunisia</v>
      </c>
      <c r="I188" s="9" t="str">
        <f ca="1">+WORLDCUP!BD69</f>
        <v>Croatia</v>
      </c>
      <c r="J188" s="9" t="str">
        <f ca="1">+WORLDCUP!BD68</f>
        <v>DR Congo</v>
      </c>
      <c r="N188" s="16" t="s">
        <v>979</v>
      </c>
      <c r="O188" s="16">
        <v>187</v>
      </c>
      <c r="P188" s="16" t="s">
        <v>104</v>
      </c>
      <c r="Q188" s="16" t="s">
        <v>127</v>
      </c>
      <c r="R188" s="16" t="s">
        <v>122</v>
      </c>
      <c r="S188" s="16" t="s">
        <v>100</v>
      </c>
      <c r="T188" s="16" t="s">
        <v>86</v>
      </c>
      <c r="U188" s="16" t="s">
        <v>109</v>
      </c>
      <c r="V188" s="16" t="s">
        <v>136</v>
      </c>
      <c r="W188" s="16" t="s">
        <v>131</v>
      </c>
    </row>
    <row r="189" spans="1:23">
      <c r="A189" s="9" t="s">
        <v>980</v>
      </c>
      <c r="B189" s="9">
        <f ca="1">+IF(A189=WORLDCUP!$BI$112,1,0)</f>
        <v>0</v>
      </c>
      <c r="C189" s="9" t="str">
        <f ca="1">+WORLDCUP!BD65</f>
        <v>Saudi Arabia</v>
      </c>
      <c r="D189" s="9" t="str">
        <f ca="1">+WORLDCUP!BD67</f>
        <v>Algeria</v>
      </c>
      <c r="E189" s="9" t="str">
        <f ca="1">+WORLDCUP!BD62</f>
        <v>Ivory Coast</v>
      </c>
      <c r="F189" s="9" t="str">
        <f ca="1">+WORLDCUP!BD61</f>
        <v>Australia</v>
      </c>
      <c r="G189" s="9" t="str">
        <f ca="1">+WORLDCUP!BD58</f>
        <v>South Korea</v>
      </c>
      <c r="H189" s="9" t="str">
        <f ca="1">+WORLDCUP!BD63</f>
        <v>Tunisia</v>
      </c>
      <c r="I189" s="9" t="str">
        <f ca="1">+WORLDCUP!BD69</f>
        <v>Croatia</v>
      </c>
      <c r="J189" s="9" t="str">
        <f ca="1">+WORLDCUP!BD68</f>
        <v>DR Congo</v>
      </c>
      <c r="N189" s="16" t="s">
        <v>980</v>
      </c>
      <c r="O189" s="16">
        <v>188</v>
      </c>
      <c r="P189" s="16" t="s">
        <v>118</v>
      </c>
      <c r="Q189" s="16" t="s">
        <v>127</v>
      </c>
      <c r="R189" s="16" t="s">
        <v>104</v>
      </c>
      <c r="S189" s="16" t="s">
        <v>100</v>
      </c>
      <c r="T189" s="16" t="s">
        <v>86</v>
      </c>
      <c r="U189" s="16" t="s">
        <v>109</v>
      </c>
      <c r="V189" s="16" t="s">
        <v>136</v>
      </c>
      <c r="W189" s="16" t="s">
        <v>131</v>
      </c>
    </row>
    <row r="190" spans="1:23">
      <c r="A190" s="9" t="s">
        <v>981</v>
      </c>
      <c r="B190" s="9">
        <f ca="1">+IF(A190=WORLDCUP!$BI$112,1,0)</f>
        <v>0</v>
      </c>
      <c r="C190" s="9" t="str">
        <f ca="1">+WORLDCUP!BD65</f>
        <v>Saudi Arabia</v>
      </c>
      <c r="D190" s="9" t="str">
        <f ca="1">+WORLDCUP!BD62</f>
        <v>Ivory Coast</v>
      </c>
      <c r="E190" s="9" t="str">
        <f ca="1">+WORLDCUP!BD66</f>
        <v>Norway</v>
      </c>
      <c r="F190" s="9" t="str">
        <f ca="1">+WORLDCUP!BD61</f>
        <v>Australia</v>
      </c>
      <c r="G190" s="9" t="str">
        <f ca="1">+WORLDCUP!BD58</f>
        <v>South Korea</v>
      </c>
      <c r="H190" s="9" t="str">
        <f ca="1">+WORLDCUP!BD63</f>
        <v>Tunisia</v>
      </c>
      <c r="I190" s="9" t="str">
        <f ca="1">+WORLDCUP!BD69</f>
        <v>Croatia</v>
      </c>
      <c r="J190" s="9" t="str">
        <f ca="1">+WORLDCUP!BD68</f>
        <v>DR Congo</v>
      </c>
      <c r="N190" s="16" t="s">
        <v>981</v>
      </c>
      <c r="O190" s="16">
        <v>189</v>
      </c>
      <c r="P190" s="16" t="s">
        <v>118</v>
      </c>
      <c r="Q190" s="16" t="s">
        <v>104</v>
      </c>
      <c r="R190" s="16" t="s">
        <v>122</v>
      </c>
      <c r="S190" s="16" t="s">
        <v>100</v>
      </c>
      <c r="T190" s="16" t="s">
        <v>86</v>
      </c>
      <c r="U190" s="16" t="s">
        <v>109</v>
      </c>
      <c r="V190" s="16" t="s">
        <v>136</v>
      </c>
      <c r="W190" s="16" t="s">
        <v>131</v>
      </c>
    </row>
    <row r="191" spans="1:23">
      <c r="A191" s="9" t="s">
        <v>982</v>
      </c>
      <c r="B191" s="9">
        <f ca="1">+IF(A191=WORLDCUP!$BI$112,1,0)</f>
        <v>0</v>
      </c>
      <c r="C191" s="9" t="str">
        <f ca="1">+WORLDCUP!BD65</f>
        <v>Saudi Arabia</v>
      </c>
      <c r="D191" s="9" t="str">
        <f ca="1">+WORLDCUP!BD67</f>
        <v>Algeria</v>
      </c>
      <c r="E191" s="9" t="str">
        <f ca="1">+WORLDCUP!BD62</f>
        <v>Ivory Coast</v>
      </c>
      <c r="F191" s="9" t="str">
        <f ca="1">+WORLDCUP!BD61</f>
        <v>Australia</v>
      </c>
      <c r="G191" s="9" t="str">
        <f ca="1">+WORLDCUP!BD58</f>
        <v>South Korea</v>
      </c>
      <c r="H191" s="9" t="str">
        <f ca="1">+WORLDCUP!BD63</f>
        <v>Tunisia</v>
      </c>
      <c r="I191" s="9" t="str">
        <f ca="1">+WORLDCUP!BD69</f>
        <v>Croatia</v>
      </c>
      <c r="J191" s="9" t="str">
        <f ca="1">+WORLDCUP!BD66</f>
        <v>Norway</v>
      </c>
      <c r="N191" s="16" t="s">
        <v>982</v>
      </c>
      <c r="O191" s="16">
        <v>190</v>
      </c>
      <c r="P191" s="16" t="s">
        <v>118</v>
      </c>
      <c r="Q191" s="16" t="s">
        <v>127</v>
      </c>
      <c r="R191" s="16" t="s">
        <v>104</v>
      </c>
      <c r="S191" s="16" t="s">
        <v>100</v>
      </c>
      <c r="T191" s="16" t="s">
        <v>86</v>
      </c>
      <c r="U191" s="16" t="s">
        <v>109</v>
      </c>
      <c r="V191" s="16" t="s">
        <v>136</v>
      </c>
      <c r="W191" s="16" t="s">
        <v>122</v>
      </c>
    </row>
    <row r="192" spans="1:23">
      <c r="A192" s="9" t="s">
        <v>983</v>
      </c>
      <c r="B192" s="9">
        <f ca="1">+IF(A192=WORLDCUP!$BI$112,1,0)</f>
        <v>0</v>
      </c>
      <c r="C192" s="9" t="str">
        <f ca="1">+WORLDCUP!BD65</f>
        <v>Saudi Arabia</v>
      </c>
      <c r="D192" s="9" t="str">
        <f ca="1">+WORLDCUP!BD67</f>
        <v>Algeria</v>
      </c>
      <c r="E192" s="9" t="str">
        <f ca="1">+WORLDCUP!BD62</f>
        <v>Ivory Coast</v>
      </c>
      <c r="F192" s="9" t="str">
        <f ca="1">+WORLDCUP!BD61</f>
        <v>Australia</v>
      </c>
      <c r="G192" s="9" t="str">
        <f ca="1">+WORLDCUP!BD58</f>
        <v>South Korea</v>
      </c>
      <c r="H192" s="9" t="str">
        <f ca="1">+WORLDCUP!BD63</f>
        <v>Tunisia</v>
      </c>
      <c r="I192" s="9" t="str">
        <f ca="1">+WORLDCUP!BD66</f>
        <v>Norway</v>
      </c>
      <c r="J192" s="9" t="str">
        <f ca="1">+WORLDCUP!BD68</f>
        <v>DR Congo</v>
      </c>
      <c r="N192" s="16" t="s">
        <v>983</v>
      </c>
      <c r="O192" s="16">
        <v>191</v>
      </c>
      <c r="P192" s="16" t="s">
        <v>118</v>
      </c>
      <c r="Q192" s="16" t="s">
        <v>127</v>
      </c>
      <c r="R192" s="16" t="s">
        <v>104</v>
      </c>
      <c r="S192" s="16" t="s">
        <v>100</v>
      </c>
      <c r="T192" s="16" t="s">
        <v>86</v>
      </c>
      <c r="U192" s="16" t="s">
        <v>109</v>
      </c>
      <c r="V192" s="16" t="s">
        <v>122</v>
      </c>
      <c r="W192" s="16" t="s">
        <v>131</v>
      </c>
    </row>
    <row r="193" spans="1:23">
      <c r="A193" s="9" t="s">
        <v>984</v>
      </c>
      <c r="B193" s="9">
        <f ca="1">+IF(A193=WORLDCUP!$BI$112,1,0)</f>
        <v>0</v>
      </c>
      <c r="C193" s="9" t="str">
        <f ca="1">+WORLDCUP!BD62</f>
        <v>Ivory Coast</v>
      </c>
      <c r="D193" s="9" t="str">
        <f ca="1">+WORLDCUP!BD64</f>
        <v>Egypt</v>
      </c>
      <c r="E193" s="9" t="str">
        <f ca="1">+WORLDCUP!BD67</f>
        <v>Algeria</v>
      </c>
      <c r="F193" s="9" t="str">
        <f ca="1">+WORLDCUP!BD61</f>
        <v>Australia</v>
      </c>
      <c r="G193" s="9" t="str">
        <f ca="1">+WORLDCUP!BD58</f>
        <v>South Korea</v>
      </c>
      <c r="H193" s="9" t="str">
        <f ca="1">+WORLDCUP!BD63</f>
        <v>Tunisia</v>
      </c>
      <c r="I193" s="9" t="str">
        <f ca="1">+WORLDCUP!BD69</f>
        <v>Croatia</v>
      </c>
      <c r="J193" s="9" t="str">
        <f ca="1">+WORLDCUP!BD68</f>
        <v>DR Congo</v>
      </c>
      <c r="N193" s="16" t="s">
        <v>984</v>
      </c>
      <c r="O193" s="16">
        <v>192</v>
      </c>
      <c r="P193" s="16" t="s">
        <v>104</v>
      </c>
      <c r="Q193" s="16" t="s">
        <v>113</v>
      </c>
      <c r="R193" s="16" t="s">
        <v>127</v>
      </c>
      <c r="S193" s="16" t="s">
        <v>100</v>
      </c>
      <c r="T193" s="16" t="s">
        <v>86</v>
      </c>
      <c r="U193" s="16" t="s">
        <v>109</v>
      </c>
      <c r="V193" s="16" t="s">
        <v>136</v>
      </c>
      <c r="W193" s="16" t="s">
        <v>131</v>
      </c>
    </row>
    <row r="194" spans="1:23">
      <c r="A194" s="9" t="s">
        <v>985</v>
      </c>
      <c r="B194" s="9">
        <f ca="1">+IF(A194=WORLDCUP!$BI$112,1,0)</f>
        <v>0</v>
      </c>
      <c r="C194" s="9" t="str">
        <f ca="1">+WORLDCUP!BD62</f>
        <v>Ivory Coast</v>
      </c>
      <c r="D194" s="9" t="str">
        <f ca="1">+WORLDCUP!BD64</f>
        <v>Egypt</v>
      </c>
      <c r="E194" s="9" t="str">
        <f ca="1">+WORLDCUP!BD66</f>
        <v>Norway</v>
      </c>
      <c r="F194" s="9" t="str">
        <f ca="1">+WORLDCUP!BD61</f>
        <v>Australia</v>
      </c>
      <c r="G194" s="9" t="str">
        <f ca="1">+WORLDCUP!BD58</f>
        <v>South Korea</v>
      </c>
      <c r="H194" s="9" t="str">
        <f ca="1">+WORLDCUP!BD63</f>
        <v>Tunisia</v>
      </c>
      <c r="I194" s="9" t="str">
        <f ca="1">+WORLDCUP!BD69</f>
        <v>Croatia</v>
      </c>
      <c r="J194" s="9" t="str">
        <f ca="1">+WORLDCUP!BD68</f>
        <v>DR Congo</v>
      </c>
      <c r="N194" s="16" t="s">
        <v>985</v>
      </c>
      <c r="O194" s="16">
        <v>193</v>
      </c>
      <c r="P194" s="16" t="s">
        <v>104</v>
      </c>
      <c r="Q194" s="16" t="s">
        <v>113</v>
      </c>
      <c r="R194" s="16" t="s">
        <v>122</v>
      </c>
      <c r="S194" s="16" t="s">
        <v>100</v>
      </c>
      <c r="T194" s="16" t="s">
        <v>86</v>
      </c>
      <c r="U194" s="16" t="s">
        <v>109</v>
      </c>
      <c r="V194" s="16" t="s">
        <v>136</v>
      </c>
      <c r="W194" s="16" t="s">
        <v>131</v>
      </c>
    </row>
    <row r="195" spans="1:23">
      <c r="A195" s="9" t="s">
        <v>986</v>
      </c>
      <c r="B195" s="9">
        <f ca="1">+IF(A195=WORLDCUP!$BI$112,1,0)</f>
        <v>0</v>
      </c>
      <c r="C195" s="9" t="str">
        <f ca="1">+WORLDCUP!BD62</f>
        <v>Ivory Coast</v>
      </c>
      <c r="D195" s="9" t="str">
        <f ca="1">+WORLDCUP!BD64</f>
        <v>Egypt</v>
      </c>
      <c r="E195" s="9" t="str">
        <f ca="1">+WORLDCUP!BD67</f>
        <v>Algeria</v>
      </c>
      <c r="F195" s="9" t="str">
        <f ca="1">+WORLDCUP!BD61</f>
        <v>Australia</v>
      </c>
      <c r="G195" s="9" t="str">
        <f ca="1">+WORLDCUP!BD58</f>
        <v>South Korea</v>
      </c>
      <c r="H195" s="9" t="str">
        <f ca="1">+WORLDCUP!BD63</f>
        <v>Tunisia</v>
      </c>
      <c r="I195" s="9" t="str">
        <f ca="1">+WORLDCUP!BD69</f>
        <v>Croatia</v>
      </c>
      <c r="J195" s="9" t="str">
        <f ca="1">+WORLDCUP!BD66</f>
        <v>Norway</v>
      </c>
      <c r="N195" s="16" t="s">
        <v>986</v>
      </c>
      <c r="O195" s="16">
        <v>194</v>
      </c>
      <c r="P195" s="16" t="s">
        <v>104</v>
      </c>
      <c r="Q195" s="16" t="s">
        <v>113</v>
      </c>
      <c r="R195" s="16" t="s">
        <v>127</v>
      </c>
      <c r="S195" s="16" t="s">
        <v>100</v>
      </c>
      <c r="T195" s="16" t="s">
        <v>86</v>
      </c>
      <c r="U195" s="16" t="s">
        <v>109</v>
      </c>
      <c r="V195" s="16" t="s">
        <v>136</v>
      </c>
      <c r="W195" s="16" t="s">
        <v>122</v>
      </c>
    </row>
    <row r="196" spans="1:23">
      <c r="A196" s="9" t="s">
        <v>987</v>
      </c>
      <c r="B196" s="9">
        <f ca="1">+IF(A196=WORLDCUP!$BI$112,1,0)</f>
        <v>0</v>
      </c>
      <c r="C196" s="9" t="str">
        <f ca="1">+WORLDCUP!BD62</f>
        <v>Ivory Coast</v>
      </c>
      <c r="D196" s="9" t="str">
        <f ca="1">+WORLDCUP!BD64</f>
        <v>Egypt</v>
      </c>
      <c r="E196" s="9" t="str">
        <f ca="1">+WORLDCUP!BD67</f>
        <v>Algeria</v>
      </c>
      <c r="F196" s="9" t="str">
        <f ca="1">+WORLDCUP!BD61</f>
        <v>Australia</v>
      </c>
      <c r="G196" s="9" t="str">
        <f ca="1">+WORLDCUP!BD58</f>
        <v>South Korea</v>
      </c>
      <c r="H196" s="9" t="str">
        <f ca="1">+WORLDCUP!BD63</f>
        <v>Tunisia</v>
      </c>
      <c r="I196" s="9" t="str">
        <f ca="1">+WORLDCUP!BD66</f>
        <v>Norway</v>
      </c>
      <c r="J196" s="9" t="str">
        <f ca="1">+WORLDCUP!BD68</f>
        <v>DR Congo</v>
      </c>
      <c r="N196" s="16" t="s">
        <v>987</v>
      </c>
      <c r="O196" s="16">
        <v>195</v>
      </c>
      <c r="P196" s="16" t="s">
        <v>104</v>
      </c>
      <c r="Q196" s="16" t="s">
        <v>113</v>
      </c>
      <c r="R196" s="16" t="s">
        <v>127</v>
      </c>
      <c r="S196" s="16" t="s">
        <v>100</v>
      </c>
      <c r="T196" s="16" t="s">
        <v>86</v>
      </c>
      <c r="U196" s="16" t="s">
        <v>109</v>
      </c>
      <c r="V196" s="16" t="s">
        <v>122</v>
      </c>
      <c r="W196" s="16" t="s">
        <v>131</v>
      </c>
    </row>
    <row r="197" spans="1:23">
      <c r="A197" s="9" t="s">
        <v>988</v>
      </c>
      <c r="B197" s="9">
        <f ca="1">+IF(A197=WORLDCUP!$BI$112,1,0)</f>
        <v>0</v>
      </c>
      <c r="C197" s="9" t="str">
        <f ca="1">+WORLDCUP!BD65</f>
        <v>Saudi Arabia</v>
      </c>
      <c r="D197" s="9" t="str">
        <f ca="1">+WORLDCUP!BD64</f>
        <v>Egypt</v>
      </c>
      <c r="E197" s="9" t="str">
        <f ca="1">+WORLDCUP!BD62</f>
        <v>Ivory Coast</v>
      </c>
      <c r="F197" s="9" t="str">
        <f ca="1">+WORLDCUP!BD61</f>
        <v>Australia</v>
      </c>
      <c r="G197" s="9" t="str">
        <f ca="1">+WORLDCUP!BD58</f>
        <v>South Korea</v>
      </c>
      <c r="H197" s="9" t="str">
        <f ca="1">+WORLDCUP!BD63</f>
        <v>Tunisia</v>
      </c>
      <c r="I197" s="9" t="str">
        <f ca="1">+WORLDCUP!BD69</f>
        <v>Croatia</v>
      </c>
      <c r="J197" s="9" t="str">
        <f ca="1">+WORLDCUP!BD68</f>
        <v>DR Congo</v>
      </c>
      <c r="N197" s="16" t="s">
        <v>988</v>
      </c>
      <c r="O197" s="16">
        <v>196</v>
      </c>
      <c r="P197" s="16" t="s">
        <v>118</v>
      </c>
      <c r="Q197" s="16" t="s">
        <v>113</v>
      </c>
      <c r="R197" s="16" t="s">
        <v>104</v>
      </c>
      <c r="S197" s="16" t="s">
        <v>100</v>
      </c>
      <c r="T197" s="16" t="s">
        <v>86</v>
      </c>
      <c r="U197" s="16" t="s">
        <v>109</v>
      </c>
      <c r="V197" s="16" t="s">
        <v>136</v>
      </c>
      <c r="W197" s="16" t="s">
        <v>131</v>
      </c>
    </row>
    <row r="198" spans="1:23">
      <c r="A198" s="9" t="s">
        <v>989</v>
      </c>
      <c r="B198" s="9">
        <f ca="1">+IF(A198=WORLDCUP!$BI$112,1,0)</f>
        <v>0</v>
      </c>
      <c r="C198" s="9" t="str">
        <f ca="1">+WORLDCUP!BD65</f>
        <v>Saudi Arabia</v>
      </c>
      <c r="D198" s="9" t="str">
        <f ca="1">+WORLDCUP!BD64</f>
        <v>Egypt</v>
      </c>
      <c r="E198" s="9" t="str">
        <f ca="1">+WORLDCUP!BD67</f>
        <v>Algeria</v>
      </c>
      <c r="F198" s="9" t="str">
        <f ca="1">+WORLDCUP!BD61</f>
        <v>Australia</v>
      </c>
      <c r="G198" s="9" t="str">
        <f ca="1">+WORLDCUP!BD58</f>
        <v>South Korea</v>
      </c>
      <c r="H198" s="9" t="str">
        <f ca="1">+WORLDCUP!BD63</f>
        <v>Tunisia</v>
      </c>
      <c r="I198" s="9" t="str">
        <f ca="1">+WORLDCUP!BD69</f>
        <v>Croatia</v>
      </c>
      <c r="J198" s="9" t="str">
        <f ca="1">+WORLDCUP!BD62</f>
        <v>Ivory Coast</v>
      </c>
      <c r="N198" s="16" t="s">
        <v>989</v>
      </c>
      <c r="O198" s="16">
        <v>197</v>
      </c>
      <c r="P198" s="16" t="s">
        <v>118</v>
      </c>
      <c r="Q198" s="16" t="s">
        <v>113</v>
      </c>
      <c r="R198" s="16" t="s">
        <v>127</v>
      </c>
      <c r="S198" s="16" t="s">
        <v>100</v>
      </c>
      <c r="T198" s="16" t="s">
        <v>86</v>
      </c>
      <c r="U198" s="16" t="s">
        <v>109</v>
      </c>
      <c r="V198" s="16" t="s">
        <v>136</v>
      </c>
      <c r="W198" s="16" t="s">
        <v>104</v>
      </c>
    </row>
    <row r="199" spans="1:23">
      <c r="A199" s="9" t="s">
        <v>990</v>
      </c>
      <c r="B199" s="9">
        <f ca="1">+IF(A199=WORLDCUP!$BI$112,1,0)</f>
        <v>0</v>
      </c>
      <c r="C199" s="9" t="str">
        <f ca="1">+WORLDCUP!BD65</f>
        <v>Saudi Arabia</v>
      </c>
      <c r="D199" s="9" t="str">
        <f ca="1">+WORLDCUP!BD64</f>
        <v>Egypt</v>
      </c>
      <c r="E199" s="9" t="str">
        <f ca="1">+WORLDCUP!BD67</f>
        <v>Algeria</v>
      </c>
      <c r="F199" s="9" t="str">
        <f ca="1">+WORLDCUP!BD61</f>
        <v>Australia</v>
      </c>
      <c r="G199" s="9" t="str">
        <f ca="1">+WORLDCUP!BD58</f>
        <v>South Korea</v>
      </c>
      <c r="H199" s="9" t="str">
        <f ca="1">+WORLDCUP!BD63</f>
        <v>Tunisia</v>
      </c>
      <c r="I199" s="9" t="str">
        <f ca="1">+WORLDCUP!BD62</f>
        <v>Ivory Coast</v>
      </c>
      <c r="J199" s="9" t="str">
        <f ca="1">+WORLDCUP!BD68</f>
        <v>DR Congo</v>
      </c>
      <c r="N199" s="16" t="s">
        <v>990</v>
      </c>
      <c r="O199" s="16">
        <v>198</v>
      </c>
      <c r="P199" s="16" t="s">
        <v>118</v>
      </c>
      <c r="Q199" s="16" t="s">
        <v>113</v>
      </c>
      <c r="R199" s="16" t="s">
        <v>127</v>
      </c>
      <c r="S199" s="16" t="s">
        <v>100</v>
      </c>
      <c r="T199" s="16" t="s">
        <v>86</v>
      </c>
      <c r="U199" s="16" t="s">
        <v>109</v>
      </c>
      <c r="V199" s="16" t="s">
        <v>104</v>
      </c>
      <c r="W199" s="16" t="s">
        <v>131</v>
      </c>
    </row>
    <row r="200" spans="1:23">
      <c r="A200" s="9" t="s">
        <v>991</v>
      </c>
      <c r="B200" s="9">
        <f ca="1">+IF(A200=WORLDCUP!$BI$112,1,0)</f>
        <v>0</v>
      </c>
      <c r="C200" s="9" t="str">
        <f ca="1">+WORLDCUP!BD65</f>
        <v>Saudi Arabia</v>
      </c>
      <c r="D200" s="9" t="str">
        <f ca="1">+WORLDCUP!BD64</f>
        <v>Egypt</v>
      </c>
      <c r="E200" s="9" t="str">
        <f ca="1">+WORLDCUP!BD62</f>
        <v>Ivory Coast</v>
      </c>
      <c r="F200" s="9" t="str">
        <f ca="1">+WORLDCUP!BD61</f>
        <v>Australia</v>
      </c>
      <c r="G200" s="9" t="str">
        <f ca="1">+WORLDCUP!BD58</f>
        <v>South Korea</v>
      </c>
      <c r="H200" s="9" t="str">
        <f ca="1">+WORLDCUP!BD63</f>
        <v>Tunisia</v>
      </c>
      <c r="I200" s="9" t="str">
        <f ca="1">+WORLDCUP!BD69</f>
        <v>Croatia</v>
      </c>
      <c r="J200" s="9" t="str">
        <f ca="1">+WORLDCUP!BD66</f>
        <v>Norway</v>
      </c>
      <c r="N200" s="16" t="s">
        <v>991</v>
      </c>
      <c r="O200" s="16">
        <v>199</v>
      </c>
      <c r="P200" s="16" t="s">
        <v>118</v>
      </c>
      <c r="Q200" s="16" t="s">
        <v>113</v>
      </c>
      <c r="R200" s="16" t="s">
        <v>104</v>
      </c>
      <c r="S200" s="16" t="s">
        <v>100</v>
      </c>
      <c r="T200" s="16" t="s">
        <v>86</v>
      </c>
      <c r="U200" s="16" t="s">
        <v>109</v>
      </c>
      <c r="V200" s="16" t="s">
        <v>136</v>
      </c>
      <c r="W200" s="16" t="s">
        <v>122</v>
      </c>
    </row>
    <row r="201" spans="1:23">
      <c r="A201" s="9" t="s">
        <v>992</v>
      </c>
      <c r="B201" s="9">
        <f ca="1">+IF(A201=WORLDCUP!$BI$112,1,0)</f>
        <v>0</v>
      </c>
      <c r="C201" s="9" t="str">
        <f ca="1">+WORLDCUP!BD65</f>
        <v>Saudi Arabia</v>
      </c>
      <c r="D201" s="9" t="str">
        <f ca="1">+WORLDCUP!BD64</f>
        <v>Egypt</v>
      </c>
      <c r="E201" s="9" t="str">
        <f ca="1">+WORLDCUP!BD62</f>
        <v>Ivory Coast</v>
      </c>
      <c r="F201" s="9" t="str">
        <f ca="1">+WORLDCUP!BD61</f>
        <v>Australia</v>
      </c>
      <c r="G201" s="9" t="str">
        <f ca="1">+WORLDCUP!BD58</f>
        <v>South Korea</v>
      </c>
      <c r="H201" s="9" t="str">
        <f ca="1">+WORLDCUP!BD63</f>
        <v>Tunisia</v>
      </c>
      <c r="I201" s="9" t="str">
        <f ca="1">+WORLDCUP!BD66</f>
        <v>Norway</v>
      </c>
      <c r="J201" s="9" t="str">
        <f ca="1">+WORLDCUP!BD68</f>
        <v>DR Congo</v>
      </c>
      <c r="N201" s="16" t="s">
        <v>992</v>
      </c>
      <c r="O201" s="16">
        <v>200</v>
      </c>
      <c r="P201" s="16" t="s">
        <v>118</v>
      </c>
      <c r="Q201" s="16" t="s">
        <v>113</v>
      </c>
      <c r="R201" s="16" t="s">
        <v>104</v>
      </c>
      <c r="S201" s="16" t="s">
        <v>100</v>
      </c>
      <c r="T201" s="16" t="s">
        <v>86</v>
      </c>
      <c r="U201" s="16" t="s">
        <v>109</v>
      </c>
      <c r="V201" s="16" t="s">
        <v>122</v>
      </c>
      <c r="W201" s="16" t="s">
        <v>131</v>
      </c>
    </row>
    <row r="202" spans="1:23">
      <c r="A202" s="9" t="s">
        <v>993</v>
      </c>
      <c r="B202" s="9">
        <f ca="1">+IF(A202=WORLDCUP!$BI$112,1,0)</f>
        <v>0</v>
      </c>
      <c r="C202" s="9" t="str">
        <f ca="1">+WORLDCUP!BD65</f>
        <v>Saudi Arabia</v>
      </c>
      <c r="D202" s="9" t="str">
        <f ca="1">+WORLDCUP!BD64</f>
        <v>Egypt</v>
      </c>
      <c r="E202" s="9" t="str">
        <f ca="1">+WORLDCUP!BD67</f>
        <v>Algeria</v>
      </c>
      <c r="F202" s="9" t="str">
        <f ca="1">+WORLDCUP!BD61</f>
        <v>Australia</v>
      </c>
      <c r="G202" s="9" t="str">
        <f ca="1">+WORLDCUP!BD58</f>
        <v>South Korea</v>
      </c>
      <c r="H202" s="9" t="str">
        <f ca="1">+WORLDCUP!BD63</f>
        <v>Tunisia</v>
      </c>
      <c r="I202" s="9" t="str">
        <f ca="1">+WORLDCUP!BD62</f>
        <v>Ivory Coast</v>
      </c>
      <c r="J202" s="9" t="str">
        <f ca="1">+WORLDCUP!BD66</f>
        <v>Norway</v>
      </c>
      <c r="N202" s="16" t="s">
        <v>993</v>
      </c>
      <c r="O202" s="16">
        <v>201</v>
      </c>
      <c r="P202" s="16" t="s">
        <v>118</v>
      </c>
      <c r="Q202" s="16" t="s">
        <v>113</v>
      </c>
      <c r="R202" s="16" t="s">
        <v>127</v>
      </c>
      <c r="S202" s="16" t="s">
        <v>100</v>
      </c>
      <c r="T202" s="16" t="s">
        <v>86</v>
      </c>
      <c r="U202" s="16" t="s">
        <v>109</v>
      </c>
      <c r="V202" s="16" t="s">
        <v>104</v>
      </c>
      <c r="W202" s="16" t="s">
        <v>122</v>
      </c>
    </row>
    <row r="203" spans="1:23">
      <c r="A203" s="9" t="s">
        <v>994</v>
      </c>
      <c r="B203" s="9">
        <f ca="1">+IF(A203=WORLDCUP!$BI$112,1,0)</f>
        <v>0</v>
      </c>
      <c r="C203" s="9" t="str">
        <f ca="1">+WORLDCUP!BD65</f>
        <v>Saudi Arabia</v>
      </c>
      <c r="D203" s="9" t="str">
        <f ca="1">+WORLDCUP!BD67</f>
        <v>Algeria</v>
      </c>
      <c r="E203" s="9" t="str">
        <f ca="1">+WORLDCUP!BD66</f>
        <v>Norway</v>
      </c>
      <c r="F203" s="9" t="str">
        <f ca="1">+WORLDCUP!BD60</f>
        <v>Scotland</v>
      </c>
      <c r="G203" s="9" t="str">
        <f ca="1">+WORLDCUP!BD58</f>
        <v>South Korea</v>
      </c>
      <c r="H203" s="9" t="str">
        <f ca="1">+WORLDCUP!BD64</f>
        <v>Egypt</v>
      </c>
      <c r="I203" s="9" t="str">
        <f ca="1">+WORLDCUP!BD69</f>
        <v>Croatia</v>
      </c>
      <c r="J203" s="9" t="str">
        <f ca="1">+WORLDCUP!BD68</f>
        <v>DR Congo</v>
      </c>
      <c r="N203" s="16" t="s">
        <v>994</v>
      </c>
      <c r="O203" s="16">
        <v>202</v>
      </c>
      <c r="P203" s="16" t="s">
        <v>118</v>
      </c>
      <c r="Q203" s="16" t="s">
        <v>127</v>
      </c>
      <c r="R203" s="16" t="s">
        <v>122</v>
      </c>
      <c r="S203" s="16" t="s">
        <v>95</v>
      </c>
      <c r="T203" s="16" t="s">
        <v>86</v>
      </c>
      <c r="U203" s="16" t="s">
        <v>113</v>
      </c>
      <c r="V203" s="16" t="s">
        <v>136</v>
      </c>
      <c r="W203" s="16" t="s">
        <v>131</v>
      </c>
    </row>
    <row r="204" spans="1:23">
      <c r="A204" s="9" t="s">
        <v>995</v>
      </c>
      <c r="B204" s="9">
        <f ca="1">+IF(A204=WORLDCUP!$BI$112,1,0)</f>
        <v>0</v>
      </c>
      <c r="C204" s="9" t="str">
        <f ca="1">+WORLDCUP!BD65</f>
        <v>Saudi Arabia</v>
      </c>
      <c r="D204" s="9" t="str">
        <f ca="1">+WORLDCUP!BD67</f>
        <v>Algeria</v>
      </c>
      <c r="E204" s="9" t="str">
        <f ca="1">+WORLDCUP!BD66</f>
        <v>Norway</v>
      </c>
      <c r="F204" s="9" t="str">
        <f ca="1">+WORLDCUP!BD60</f>
        <v>Scotland</v>
      </c>
      <c r="G204" s="9" t="str">
        <f ca="1">+WORLDCUP!BD58</f>
        <v>South Korea</v>
      </c>
      <c r="H204" s="9" t="str">
        <f ca="1">+WORLDCUP!BD63</f>
        <v>Tunisia</v>
      </c>
      <c r="I204" s="9" t="str">
        <f ca="1">+WORLDCUP!BD69</f>
        <v>Croatia</v>
      </c>
      <c r="J204" s="9" t="str">
        <f ca="1">+WORLDCUP!BD68</f>
        <v>DR Congo</v>
      </c>
      <c r="N204" s="16" t="s">
        <v>995</v>
      </c>
      <c r="O204" s="16">
        <v>203</v>
      </c>
      <c r="P204" s="16" t="s">
        <v>118</v>
      </c>
      <c r="Q204" s="16" t="s">
        <v>127</v>
      </c>
      <c r="R204" s="16" t="s">
        <v>122</v>
      </c>
      <c r="S204" s="16" t="s">
        <v>95</v>
      </c>
      <c r="T204" s="16" t="s">
        <v>86</v>
      </c>
      <c r="U204" s="16" t="s">
        <v>109</v>
      </c>
      <c r="V204" s="16" t="s">
        <v>136</v>
      </c>
      <c r="W204" s="16" t="s">
        <v>131</v>
      </c>
    </row>
    <row r="205" spans="1:23">
      <c r="A205" s="9" t="s">
        <v>996</v>
      </c>
      <c r="B205" s="9">
        <f ca="1">+IF(A205=WORLDCUP!$BI$112,1,0)</f>
        <v>0</v>
      </c>
      <c r="C205" s="9" t="str">
        <f ca="1">+WORLDCUP!BD66</f>
        <v>Norway</v>
      </c>
      <c r="D205" s="9" t="str">
        <f ca="1">+WORLDCUP!BD64</f>
        <v>Egypt</v>
      </c>
      <c r="E205" s="9" t="str">
        <f ca="1">+WORLDCUP!BD67</f>
        <v>Algeria</v>
      </c>
      <c r="F205" s="9" t="str">
        <f ca="1">+WORLDCUP!BD60</f>
        <v>Scotland</v>
      </c>
      <c r="G205" s="9" t="str">
        <f ca="1">+WORLDCUP!BD58</f>
        <v>South Korea</v>
      </c>
      <c r="H205" s="9" t="str">
        <f ca="1">+WORLDCUP!BD63</f>
        <v>Tunisia</v>
      </c>
      <c r="I205" s="9" t="str">
        <f ca="1">+WORLDCUP!BD69</f>
        <v>Croatia</v>
      </c>
      <c r="J205" s="9" t="str">
        <f ca="1">+WORLDCUP!BD68</f>
        <v>DR Congo</v>
      </c>
      <c r="N205" s="16" t="s">
        <v>996</v>
      </c>
      <c r="O205" s="16">
        <v>204</v>
      </c>
      <c r="P205" s="16" t="s">
        <v>122</v>
      </c>
      <c r="Q205" s="16" t="s">
        <v>113</v>
      </c>
      <c r="R205" s="16" t="s">
        <v>127</v>
      </c>
      <c r="S205" s="16" t="s">
        <v>95</v>
      </c>
      <c r="T205" s="16" t="s">
        <v>86</v>
      </c>
      <c r="U205" s="16" t="s">
        <v>109</v>
      </c>
      <c r="V205" s="16" t="s">
        <v>136</v>
      </c>
      <c r="W205" s="16" t="s">
        <v>131</v>
      </c>
    </row>
    <row r="206" spans="1:23">
      <c r="A206" s="9" t="s">
        <v>997</v>
      </c>
      <c r="B206" s="9">
        <f ca="1">+IF(A206=WORLDCUP!$BI$112,1,0)</f>
        <v>0</v>
      </c>
      <c r="C206" s="9" t="str">
        <f ca="1">+WORLDCUP!BD65</f>
        <v>Saudi Arabia</v>
      </c>
      <c r="D206" s="9" t="str">
        <f ca="1">+WORLDCUP!BD64</f>
        <v>Egypt</v>
      </c>
      <c r="E206" s="9" t="str">
        <f ca="1">+WORLDCUP!BD67</f>
        <v>Algeria</v>
      </c>
      <c r="F206" s="9" t="str">
        <f ca="1">+WORLDCUP!BD60</f>
        <v>Scotland</v>
      </c>
      <c r="G206" s="9" t="str">
        <f ca="1">+WORLDCUP!BD58</f>
        <v>South Korea</v>
      </c>
      <c r="H206" s="9" t="str">
        <f ca="1">+WORLDCUP!BD63</f>
        <v>Tunisia</v>
      </c>
      <c r="I206" s="9" t="str">
        <f ca="1">+WORLDCUP!BD69</f>
        <v>Croatia</v>
      </c>
      <c r="J206" s="9" t="str">
        <f ca="1">+WORLDCUP!BD68</f>
        <v>DR Congo</v>
      </c>
      <c r="N206" s="16" t="s">
        <v>997</v>
      </c>
      <c r="O206" s="16">
        <v>205</v>
      </c>
      <c r="P206" s="16" t="s">
        <v>118</v>
      </c>
      <c r="Q206" s="16" t="s">
        <v>113</v>
      </c>
      <c r="R206" s="16" t="s">
        <v>127</v>
      </c>
      <c r="S206" s="16" t="s">
        <v>95</v>
      </c>
      <c r="T206" s="16" t="s">
        <v>86</v>
      </c>
      <c r="U206" s="16" t="s">
        <v>109</v>
      </c>
      <c r="V206" s="16" t="s">
        <v>136</v>
      </c>
      <c r="W206" s="16" t="s">
        <v>131</v>
      </c>
    </row>
    <row r="207" spans="1:23">
      <c r="A207" s="9" t="s">
        <v>998</v>
      </c>
      <c r="B207" s="9">
        <f ca="1">+IF(A207=WORLDCUP!$BI$112,1,0)</f>
        <v>0</v>
      </c>
      <c r="C207" s="9" t="str">
        <f ca="1">+WORLDCUP!BD65</f>
        <v>Saudi Arabia</v>
      </c>
      <c r="D207" s="9" t="str">
        <f ca="1">+WORLDCUP!BD64</f>
        <v>Egypt</v>
      </c>
      <c r="E207" s="9" t="str">
        <f ca="1">+WORLDCUP!BD66</f>
        <v>Norway</v>
      </c>
      <c r="F207" s="9" t="str">
        <f ca="1">+WORLDCUP!BD60</f>
        <v>Scotland</v>
      </c>
      <c r="G207" s="9" t="str">
        <f ca="1">+WORLDCUP!BD58</f>
        <v>South Korea</v>
      </c>
      <c r="H207" s="9" t="str">
        <f ca="1">+WORLDCUP!BD63</f>
        <v>Tunisia</v>
      </c>
      <c r="I207" s="9" t="str">
        <f ca="1">+WORLDCUP!BD69</f>
        <v>Croatia</v>
      </c>
      <c r="J207" s="9" t="str">
        <f ca="1">+WORLDCUP!BD68</f>
        <v>DR Congo</v>
      </c>
      <c r="N207" s="16" t="s">
        <v>998</v>
      </c>
      <c r="O207" s="16">
        <v>206</v>
      </c>
      <c r="P207" s="16" t="s">
        <v>118</v>
      </c>
      <c r="Q207" s="16" t="s">
        <v>113</v>
      </c>
      <c r="R207" s="16" t="s">
        <v>122</v>
      </c>
      <c r="S207" s="16" t="s">
        <v>95</v>
      </c>
      <c r="T207" s="16" t="s">
        <v>86</v>
      </c>
      <c r="U207" s="16" t="s">
        <v>109</v>
      </c>
      <c r="V207" s="16" t="s">
        <v>136</v>
      </c>
      <c r="W207" s="16" t="s">
        <v>131</v>
      </c>
    </row>
    <row r="208" spans="1:23">
      <c r="A208" s="9" t="s">
        <v>999</v>
      </c>
      <c r="B208" s="9">
        <f ca="1">+IF(A208=WORLDCUP!$BI$112,1,0)</f>
        <v>0</v>
      </c>
      <c r="C208" s="9" t="str">
        <f ca="1">+WORLDCUP!BD65</f>
        <v>Saudi Arabia</v>
      </c>
      <c r="D208" s="9" t="str">
        <f ca="1">+WORLDCUP!BD64</f>
        <v>Egypt</v>
      </c>
      <c r="E208" s="9" t="str">
        <f ca="1">+WORLDCUP!BD67</f>
        <v>Algeria</v>
      </c>
      <c r="F208" s="9" t="str">
        <f ca="1">+WORLDCUP!BD60</f>
        <v>Scotland</v>
      </c>
      <c r="G208" s="9" t="str">
        <f ca="1">+WORLDCUP!BD58</f>
        <v>South Korea</v>
      </c>
      <c r="H208" s="9" t="str">
        <f ca="1">+WORLDCUP!BD63</f>
        <v>Tunisia</v>
      </c>
      <c r="I208" s="9" t="str">
        <f ca="1">+WORLDCUP!BD69</f>
        <v>Croatia</v>
      </c>
      <c r="J208" s="9" t="str">
        <f ca="1">+WORLDCUP!BD66</f>
        <v>Norway</v>
      </c>
      <c r="N208" s="16" t="s">
        <v>999</v>
      </c>
      <c r="O208" s="16">
        <v>207</v>
      </c>
      <c r="P208" s="16" t="s">
        <v>118</v>
      </c>
      <c r="Q208" s="16" t="s">
        <v>113</v>
      </c>
      <c r="R208" s="16" t="s">
        <v>127</v>
      </c>
      <c r="S208" s="16" t="s">
        <v>95</v>
      </c>
      <c r="T208" s="16" t="s">
        <v>86</v>
      </c>
      <c r="U208" s="16" t="s">
        <v>109</v>
      </c>
      <c r="V208" s="16" t="s">
        <v>136</v>
      </c>
      <c r="W208" s="16" t="s">
        <v>122</v>
      </c>
    </row>
    <row r="209" spans="1:23">
      <c r="A209" s="9" t="s">
        <v>1000</v>
      </c>
      <c r="B209" s="9">
        <f ca="1">+IF(A209=WORLDCUP!$BI$112,1,0)</f>
        <v>0</v>
      </c>
      <c r="C209" s="9" t="str">
        <f ca="1">+WORLDCUP!BD65</f>
        <v>Saudi Arabia</v>
      </c>
      <c r="D209" s="9" t="str">
        <f ca="1">+WORLDCUP!BD64</f>
        <v>Egypt</v>
      </c>
      <c r="E209" s="9" t="str">
        <f ca="1">+WORLDCUP!BD67</f>
        <v>Algeria</v>
      </c>
      <c r="F209" s="9" t="str">
        <f ca="1">+WORLDCUP!BD60</f>
        <v>Scotland</v>
      </c>
      <c r="G209" s="9" t="str">
        <f ca="1">+WORLDCUP!BD58</f>
        <v>South Korea</v>
      </c>
      <c r="H209" s="9" t="str">
        <f ca="1">+WORLDCUP!BD63</f>
        <v>Tunisia</v>
      </c>
      <c r="I209" s="9" t="str">
        <f ca="1">+WORLDCUP!BD66</f>
        <v>Norway</v>
      </c>
      <c r="J209" s="9" t="str">
        <f ca="1">+WORLDCUP!BD68</f>
        <v>DR Congo</v>
      </c>
      <c r="N209" s="16" t="s">
        <v>1000</v>
      </c>
      <c r="O209" s="16">
        <v>208</v>
      </c>
      <c r="P209" s="16" t="s">
        <v>118</v>
      </c>
      <c r="Q209" s="16" t="s">
        <v>113</v>
      </c>
      <c r="R209" s="16" t="s">
        <v>127</v>
      </c>
      <c r="S209" s="16" t="s">
        <v>95</v>
      </c>
      <c r="T209" s="16" t="s">
        <v>86</v>
      </c>
      <c r="U209" s="16" t="s">
        <v>109</v>
      </c>
      <c r="V209" s="16" t="s">
        <v>122</v>
      </c>
      <c r="W209" s="16" t="s">
        <v>131</v>
      </c>
    </row>
    <row r="210" spans="1:23">
      <c r="A210" s="9" t="s">
        <v>1001</v>
      </c>
      <c r="B210" s="9">
        <f ca="1">+IF(A210=WORLDCUP!$BI$112,1,0)</f>
        <v>0</v>
      </c>
      <c r="C210" s="9" t="str">
        <f ca="1">+WORLDCUP!BD62</f>
        <v>Ivory Coast</v>
      </c>
      <c r="D210" s="9" t="str">
        <f ca="1">+WORLDCUP!BD67</f>
        <v>Algeria</v>
      </c>
      <c r="E210" s="9" t="str">
        <f ca="1">+WORLDCUP!BD66</f>
        <v>Norway</v>
      </c>
      <c r="F210" s="9" t="str">
        <f ca="1">+WORLDCUP!BD60</f>
        <v>Scotland</v>
      </c>
      <c r="G210" s="9" t="str">
        <f ca="1">+WORLDCUP!BD58</f>
        <v>South Korea</v>
      </c>
      <c r="H210" s="9" t="str">
        <f ca="1">+WORLDCUP!BD65</f>
        <v>Saudi Arabia</v>
      </c>
      <c r="I210" s="9" t="str">
        <f ca="1">+WORLDCUP!BD69</f>
        <v>Croatia</v>
      </c>
      <c r="J210" s="9" t="str">
        <f ca="1">+WORLDCUP!BD68</f>
        <v>DR Congo</v>
      </c>
      <c r="N210" s="16" t="s">
        <v>1001</v>
      </c>
      <c r="O210" s="16">
        <v>209</v>
      </c>
      <c r="P210" s="16" t="s">
        <v>104</v>
      </c>
      <c r="Q210" s="16" t="s">
        <v>127</v>
      </c>
      <c r="R210" s="16" t="s">
        <v>122</v>
      </c>
      <c r="S210" s="16" t="s">
        <v>95</v>
      </c>
      <c r="T210" s="16" t="s">
        <v>86</v>
      </c>
      <c r="U210" s="16" t="s">
        <v>118</v>
      </c>
      <c r="V210" s="16" t="s">
        <v>136</v>
      </c>
      <c r="W210" s="16" t="s">
        <v>131</v>
      </c>
    </row>
    <row r="211" spans="1:23">
      <c r="A211" s="9" t="s">
        <v>1002</v>
      </c>
      <c r="B211" s="9">
        <f ca="1">+IF(A211=WORLDCUP!$BI$112,1,0)</f>
        <v>0</v>
      </c>
      <c r="C211" s="9" t="str">
        <f ca="1">+WORLDCUP!BD62</f>
        <v>Ivory Coast</v>
      </c>
      <c r="D211" s="9" t="str">
        <f ca="1">+WORLDCUP!BD67</f>
        <v>Algeria</v>
      </c>
      <c r="E211" s="9" t="str">
        <f ca="1">+WORLDCUP!BD66</f>
        <v>Norway</v>
      </c>
      <c r="F211" s="9" t="str">
        <f ca="1">+WORLDCUP!BD60</f>
        <v>Scotland</v>
      </c>
      <c r="G211" s="9" t="str">
        <f ca="1">+WORLDCUP!BD58</f>
        <v>South Korea</v>
      </c>
      <c r="H211" s="9" t="str">
        <f ca="1">+WORLDCUP!BD64</f>
        <v>Egypt</v>
      </c>
      <c r="I211" s="9" t="str">
        <f ca="1">+WORLDCUP!BD69</f>
        <v>Croatia</v>
      </c>
      <c r="J211" s="9" t="str">
        <f ca="1">+WORLDCUP!BD68</f>
        <v>DR Congo</v>
      </c>
      <c r="N211" s="16" t="s">
        <v>1002</v>
      </c>
      <c r="O211" s="16">
        <v>210</v>
      </c>
      <c r="P211" s="16" t="s">
        <v>104</v>
      </c>
      <c r="Q211" s="16" t="s">
        <v>127</v>
      </c>
      <c r="R211" s="16" t="s">
        <v>122</v>
      </c>
      <c r="S211" s="16" t="s">
        <v>95</v>
      </c>
      <c r="T211" s="16" t="s">
        <v>86</v>
      </c>
      <c r="U211" s="16" t="s">
        <v>113</v>
      </c>
      <c r="V211" s="16" t="s">
        <v>136</v>
      </c>
      <c r="W211" s="16" t="s">
        <v>131</v>
      </c>
    </row>
    <row r="212" spans="1:23">
      <c r="A212" s="9" t="s">
        <v>1003</v>
      </c>
      <c r="B212" s="9">
        <f ca="1">+IF(A212=WORLDCUP!$BI$112,1,0)</f>
        <v>0</v>
      </c>
      <c r="C212" s="9" t="str">
        <f ca="1">+WORLDCUP!BD62</f>
        <v>Ivory Coast</v>
      </c>
      <c r="D212" s="9" t="str">
        <f ca="1">+WORLDCUP!BD64</f>
        <v>Egypt</v>
      </c>
      <c r="E212" s="9" t="str">
        <f ca="1">+WORLDCUP!BD67</f>
        <v>Algeria</v>
      </c>
      <c r="F212" s="9" t="str">
        <f ca="1">+WORLDCUP!BD60</f>
        <v>Scotland</v>
      </c>
      <c r="G212" s="9" t="str">
        <f ca="1">+WORLDCUP!BD58</f>
        <v>South Korea</v>
      </c>
      <c r="H212" s="9" t="str">
        <f ca="1">+WORLDCUP!BD65</f>
        <v>Saudi Arabia</v>
      </c>
      <c r="I212" s="9" t="str">
        <f ca="1">+WORLDCUP!BD69</f>
        <v>Croatia</v>
      </c>
      <c r="J212" s="9" t="str">
        <f ca="1">+WORLDCUP!BD68</f>
        <v>DR Congo</v>
      </c>
      <c r="N212" s="16" t="s">
        <v>1003</v>
      </c>
      <c r="O212" s="16">
        <v>211</v>
      </c>
      <c r="P212" s="16" t="s">
        <v>104</v>
      </c>
      <c r="Q212" s="16" t="s">
        <v>113</v>
      </c>
      <c r="R212" s="16" t="s">
        <v>127</v>
      </c>
      <c r="S212" s="16" t="s">
        <v>95</v>
      </c>
      <c r="T212" s="16" t="s">
        <v>86</v>
      </c>
      <c r="U212" s="16" t="s">
        <v>118</v>
      </c>
      <c r="V212" s="16" t="s">
        <v>136</v>
      </c>
      <c r="W212" s="16" t="s">
        <v>131</v>
      </c>
    </row>
    <row r="213" spans="1:23">
      <c r="A213" s="9" t="s">
        <v>1004</v>
      </c>
      <c r="B213" s="9">
        <f ca="1">+IF(A213=WORLDCUP!$BI$112,1,0)</f>
        <v>0</v>
      </c>
      <c r="C213" s="9" t="str">
        <f ca="1">+WORLDCUP!BD62</f>
        <v>Ivory Coast</v>
      </c>
      <c r="D213" s="9" t="str">
        <f ca="1">+WORLDCUP!BD64</f>
        <v>Egypt</v>
      </c>
      <c r="E213" s="9" t="str">
        <f ca="1">+WORLDCUP!BD66</f>
        <v>Norway</v>
      </c>
      <c r="F213" s="9" t="str">
        <f ca="1">+WORLDCUP!BD60</f>
        <v>Scotland</v>
      </c>
      <c r="G213" s="9" t="str">
        <f ca="1">+WORLDCUP!BD58</f>
        <v>South Korea</v>
      </c>
      <c r="H213" s="9" t="str">
        <f ca="1">+WORLDCUP!BD65</f>
        <v>Saudi Arabia</v>
      </c>
      <c r="I213" s="9" t="str">
        <f ca="1">+WORLDCUP!BD69</f>
        <v>Croatia</v>
      </c>
      <c r="J213" s="9" t="str">
        <f ca="1">+WORLDCUP!BD68</f>
        <v>DR Congo</v>
      </c>
      <c r="N213" s="16" t="s">
        <v>1004</v>
      </c>
      <c r="O213" s="16">
        <v>212</v>
      </c>
      <c r="P213" s="16" t="s">
        <v>104</v>
      </c>
      <c r="Q213" s="16" t="s">
        <v>113</v>
      </c>
      <c r="R213" s="16" t="s">
        <v>122</v>
      </c>
      <c r="S213" s="16" t="s">
        <v>95</v>
      </c>
      <c r="T213" s="16" t="s">
        <v>86</v>
      </c>
      <c r="U213" s="16" t="s">
        <v>118</v>
      </c>
      <c r="V213" s="16" t="s">
        <v>136</v>
      </c>
      <c r="W213" s="16" t="s">
        <v>131</v>
      </c>
    </row>
    <row r="214" spans="1:23">
      <c r="A214" s="9" t="s">
        <v>1005</v>
      </c>
      <c r="B214" s="9">
        <f ca="1">+IF(A214=WORLDCUP!$BI$112,1,0)</f>
        <v>0</v>
      </c>
      <c r="C214" s="9" t="str">
        <f ca="1">+WORLDCUP!BD62</f>
        <v>Ivory Coast</v>
      </c>
      <c r="D214" s="9" t="str">
        <f ca="1">+WORLDCUP!BD64</f>
        <v>Egypt</v>
      </c>
      <c r="E214" s="9" t="str">
        <f ca="1">+WORLDCUP!BD67</f>
        <v>Algeria</v>
      </c>
      <c r="F214" s="9" t="str">
        <f ca="1">+WORLDCUP!BD60</f>
        <v>Scotland</v>
      </c>
      <c r="G214" s="9" t="str">
        <f ca="1">+WORLDCUP!BD58</f>
        <v>South Korea</v>
      </c>
      <c r="H214" s="9" t="str">
        <f ca="1">+WORLDCUP!BD65</f>
        <v>Saudi Arabia</v>
      </c>
      <c r="I214" s="9" t="str">
        <f ca="1">+WORLDCUP!BD69</f>
        <v>Croatia</v>
      </c>
      <c r="J214" s="9" t="str">
        <f ca="1">+WORLDCUP!BD66</f>
        <v>Norway</v>
      </c>
      <c r="N214" s="16" t="s">
        <v>1005</v>
      </c>
      <c r="O214" s="16">
        <v>213</v>
      </c>
      <c r="P214" s="16" t="s">
        <v>104</v>
      </c>
      <c r="Q214" s="16" t="s">
        <v>113</v>
      </c>
      <c r="R214" s="16" t="s">
        <v>127</v>
      </c>
      <c r="S214" s="16" t="s">
        <v>95</v>
      </c>
      <c r="T214" s="16" t="s">
        <v>86</v>
      </c>
      <c r="U214" s="16" t="s">
        <v>118</v>
      </c>
      <c r="V214" s="16" t="s">
        <v>136</v>
      </c>
      <c r="W214" s="16" t="s">
        <v>122</v>
      </c>
    </row>
    <row r="215" spans="1:23">
      <c r="A215" s="9" t="s">
        <v>1006</v>
      </c>
      <c r="B215" s="9">
        <f ca="1">+IF(A215=WORLDCUP!$BI$112,1,0)</f>
        <v>0</v>
      </c>
      <c r="C215" s="9" t="str">
        <f ca="1">+WORLDCUP!BD62</f>
        <v>Ivory Coast</v>
      </c>
      <c r="D215" s="9" t="str">
        <f ca="1">+WORLDCUP!BD64</f>
        <v>Egypt</v>
      </c>
      <c r="E215" s="9" t="str">
        <f ca="1">+WORLDCUP!BD67</f>
        <v>Algeria</v>
      </c>
      <c r="F215" s="9" t="str">
        <f ca="1">+WORLDCUP!BD60</f>
        <v>Scotland</v>
      </c>
      <c r="G215" s="9" t="str">
        <f ca="1">+WORLDCUP!BD58</f>
        <v>South Korea</v>
      </c>
      <c r="H215" s="9" t="str">
        <f ca="1">+WORLDCUP!BD65</f>
        <v>Saudi Arabia</v>
      </c>
      <c r="I215" s="9" t="str">
        <f ca="1">+WORLDCUP!BD66</f>
        <v>Norway</v>
      </c>
      <c r="J215" s="9" t="str">
        <f ca="1">+WORLDCUP!BD68</f>
        <v>DR Congo</v>
      </c>
      <c r="N215" s="16" t="s">
        <v>1006</v>
      </c>
      <c r="O215" s="16">
        <v>214</v>
      </c>
      <c r="P215" s="16" t="s">
        <v>104</v>
      </c>
      <c r="Q215" s="16" t="s">
        <v>113</v>
      </c>
      <c r="R215" s="16" t="s">
        <v>127</v>
      </c>
      <c r="S215" s="16" t="s">
        <v>95</v>
      </c>
      <c r="T215" s="16" t="s">
        <v>86</v>
      </c>
      <c r="U215" s="16" t="s">
        <v>118</v>
      </c>
      <c r="V215" s="16" t="s">
        <v>122</v>
      </c>
      <c r="W215" s="16" t="s">
        <v>131</v>
      </c>
    </row>
    <row r="216" spans="1:23">
      <c r="A216" s="9" t="s">
        <v>1007</v>
      </c>
      <c r="B216" s="9">
        <f ca="1">+IF(A216=WORLDCUP!$BI$112,1,0)</f>
        <v>0</v>
      </c>
      <c r="C216" s="9" t="str">
        <f ca="1">+WORLDCUP!BD62</f>
        <v>Ivory Coast</v>
      </c>
      <c r="D216" s="9" t="str">
        <f ca="1">+WORLDCUP!BD67</f>
        <v>Algeria</v>
      </c>
      <c r="E216" s="9" t="str">
        <f ca="1">+WORLDCUP!BD66</f>
        <v>Norway</v>
      </c>
      <c r="F216" s="9" t="str">
        <f ca="1">+WORLDCUP!BD60</f>
        <v>Scotland</v>
      </c>
      <c r="G216" s="9" t="str">
        <f ca="1">+WORLDCUP!BD58</f>
        <v>South Korea</v>
      </c>
      <c r="H216" s="9" t="str">
        <f ca="1">+WORLDCUP!BD63</f>
        <v>Tunisia</v>
      </c>
      <c r="I216" s="9" t="str">
        <f ca="1">+WORLDCUP!BD69</f>
        <v>Croatia</v>
      </c>
      <c r="J216" s="9" t="str">
        <f ca="1">+WORLDCUP!BD68</f>
        <v>DR Congo</v>
      </c>
      <c r="N216" s="16" t="s">
        <v>1007</v>
      </c>
      <c r="O216" s="16">
        <v>215</v>
      </c>
      <c r="P216" s="16" t="s">
        <v>104</v>
      </c>
      <c r="Q216" s="16" t="s">
        <v>127</v>
      </c>
      <c r="R216" s="16" t="s">
        <v>122</v>
      </c>
      <c r="S216" s="16" t="s">
        <v>95</v>
      </c>
      <c r="T216" s="16" t="s">
        <v>86</v>
      </c>
      <c r="U216" s="16" t="s">
        <v>109</v>
      </c>
      <c r="V216" s="16" t="s">
        <v>136</v>
      </c>
      <c r="W216" s="16" t="s">
        <v>131</v>
      </c>
    </row>
    <row r="217" spans="1:23">
      <c r="A217" s="9" t="s">
        <v>1008</v>
      </c>
      <c r="B217" s="9">
        <f ca="1">+IF(A217=WORLDCUP!$BI$112,1,0)</f>
        <v>0</v>
      </c>
      <c r="C217" s="9" t="str">
        <f ca="1">+WORLDCUP!BD65</f>
        <v>Saudi Arabia</v>
      </c>
      <c r="D217" s="9" t="str">
        <f ca="1">+WORLDCUP!BD67</f>
        <v>Algeria</v>
      </c>
      <c r="E217" s="9" t="str">
        <f ca="1">+WORLDCUP!BD62</f>
        <v>Ivory Coast</v>
      </c>
      <c r="F217" s="9" t="str">
        <f ca="1">+WORLDCUP!BD60</f>
        <v>Scotland</v>
      </c>
      <c r="G217" s="9" t="str">
        <f ca="1">+WORLDCUP!BD58</f>
        <v>South Korea</v>
      </c>
      <c r="H217" s="9" t="str">
        <f ca="1">+WORLDCUP!BD63</f>
        <v>Tunisia</v>
      </c>
      <c r="I217" s="9" t="str">
        <f ca="1">+WORLDCUP!BD69</f>
        <v>Croatia</v>
      </c>
      <c r="J217" s="9" t="str">
        <f ca="1">+WORLDCUP!BD68</f>
        <v>DR Congo</v>
      </c>
      <c r="N217" s="16" t="s">
        <v>1008</v>
      </c>
      <c r="O217" s="16">
        <v>216</v>
      </c>
      <c r="P217" s="16" t="s">
        <v>118</v>
      </c>
      <c r="Q217" s="16" t="s">
        <v>127</v>
      </c>
      <c r="R217" s="16" t="s">
        <v>104</v>
      </c>
      <c r="S217" s="16" t="s">
        <v>95</v>
      </c>
      <c r="T217" s="16" t="s">
        <v>86</v>
      </c>
      <c r="U217" s="16" t="s">
        <v>109</v>
      </c>
      <c r="V217" s="16" t="s">
        <v>136</v>
      </c>
      <c r="W217" s="16" t="s">
        <v>131</v>
      </c>
    </row>
    <row r="218" spans="1:23">
      <c r="A218" s="9" t="s">
        <v>1009</v>
      </c>
      <c r="B218" s="9">
        <f ca="1">+IF(A218=WORLDCUP!$BI$112,1,0)</f>
        <v>0</v>
      </c>
      <c r="C218" s="9" t="str">
        <f ca="1">+WORLDCUP!BD65</f>
        <v>Saudi Arabia</v>
      </c>
      <c r="D218" s="9" t="str">
        <f ca="1">+WORLDCUP!BD62</f>
        <v>Ivory Coast</v>
      </c>
      <c r="E218" s="9" t="str">
        <f ca="1">+WORLDCUP!BD66</f>
        <v>Norway</v>
      </c>
      <c r="F218" s="9" t="str">
        <f ca="1">+WORLDCUP!BD60</f>
        <v>Scotland</v>
      </c>
      <c r="G218" s="9" t="str">
        <f ca="1">+WORLDCUP!BD58</f>
        <v>South Korea</v>
      </c>
      <c r="H218" s="9" t="str">
        <f ca="1">+WORLDCUP!BD63</f>
        <v>Tunisia</v>
      </c>
      <c r="I218" s="9" t="str">
        <f ca="1">+WORLDCUP!BD69</f>
        <v>Croatia</v>
      </c>
      <c r="J218" s="9" t="str">
        <f ca="1">+WORLDCUP!BD68</f>
        <v>DR Congo</v>
      </c>
      <c r="N218" s="16" t="s">
        <v>1009</v>
      </c>
      <c r="O218" s="16">
        <v>217</v>
      </c>
      <c r="P218" s="16" t="s">
        <v>118</v>
      </c>
      <c r="Q218" s="16" t="s">
        <v>104</v>
      </c>
      <c r="R218" s="16" t="s">
        <v>122</v>
      </c>
      <c r="S218" s="16" t="s">
        <v>95</v>
      </c>
      <c r="T218" s="16" t="s">
        <v>86</v>
      </c>
      <c r="U218" s="16" t="s">
        <v>109</v>
      </c>
      <c r="V218" s="16" t="s">
        <v>136</v>
      </c>
      <c r="W218" s="16" t="s">
        <v>131</v>
      </c>
    </row>
    <row r="219" spans="1:23">
      <c r="A219" s="9" t="s">
        <v>1010</v>
      </c>
      <c r="B219" s="9">
        <f ca="1">+IF(A219=WORLDCUP!$BI$112,1,0)</f>
        <v>0</v>
      </c>
      <c r="C219" s="9" t="str">
        <f ca="1">+WORLDCUP!BD65</f>
        <v>Saudi Arabia</v>
      </c>
      <c r="D219" s="9" t="str">
        <f ca="1">+WORLDCUP!BD67</f>
        <v>Algeria</v>
      </c>
      <c r="E219" s="9" t="str">
        <f ca="1">+WORLDCUP!BD62</f>
        <v>Ivory Coast</v>
      </c>
      <c r="F219" s="9" t="str">
        <f ca="1">+WORLDCUP!BD60</f>
        <v>Scotland</v>
      </c>
      <c r="G219" s="9" t="str">
        <f ca="1">+WORLDCUP!BD58</f>
        <v>South Korea</v>
      </c>
      <c r="H219" s="9" t="str">
        <f ca="1">+WORLDCUP!BD63</f>
        <v>Tunisia</v>
      </c>
      <c r="I219" s="9" t="str">
        <f ca="1">+WORLDCUP!BD69</f>
        <v>Croatia</v>
      </c>
      <c r="J219" s="9" t="str">
        <f ca="1">+WORLDCUP!BD66</f>
        <v>Norway</v>
      </c>
      <c r="N219" s="16" t="s">
        <v>1010</v>
      </c>
      <c r="O219" s="16">
        <v>218</v>
      </c>
      <c r="P219" s="16" t="s">
        <v>118</v>
      </c>
      <c r="Q219" s="16" t="s">
        <v>127</v>
      </c>
      <c r="R219" s="16" t="s">
        <v>104</v>
      </c>
      <c r="S219" s="16" t="s">
        <v>95</v>
      </c>
      <c r="T219" s="16" t="s">
        <v>86</v>
      </c>
      <c r="U219" s="16" t="s">
        <v>109</v>
      </c>
      <c r="V219" s="16" t="s">
        <v>136</v>
      </c>
      <c r="W219" s="16" t="s">
        <v>122</v>
      </c>
    </row>
    <row r="220" spans="1:23">
      <c r="A220" s="9" t="s">
        <v>1011</v>
      </c>
      <c r="B220" s="9">
        <f ca="1">+IF(A220=WORLDCUP!$BI$112,1,0)</f>
        <v>0</v>
      </c>
      <c r="C220" s="9" t="str">
        <f ca="1">+WORLDCUP!BD65</f>
        <v>Saudi Arabia</v>
      </c>
      <c r="D220" s="9" t="str">
        <f ca="1">+WORLDCUP!BD67</f>
        <v>Algeria</v>
      </c>
      <c r="E220" s="9" t="str">
        <f ca="1">+WORLDCUP!BD62</f>
        <v>Ivory Coast</v>
      </c>
      <c r="F220" s="9" t="str">
        <f ca="1">+WORLDCUP!BD60</f>
        <v>Scotland</v>
      </c>
      <c r="G220" s="9" t="str">
        <f ca="1">+WORLDCUP!BD58</f>
        <v>South Korea</v>
      </c>
      <c r="H220" s="9" t="str">
        <f ca="1">+WORLDCUP!BD63</f>
        <v>Tunisia</v>
      </c>
      <c r="I220" s="9" t="str">
        <f ca="1">+WORLDCUP!BD66</f>
        <v>Norway</v>
      </c>
      <c r="J220" s="9" t="str">
        <f ca="1">+WORLDCUP!BD68</f>
        <v>DR Congo</v>
      </c>
      <c r="N220" s="16" t="s">
        <v>1011</v>
      </c>
      <c r="O220" s="16">
        <v>219</v>
      </c>
      <c r="P220" s="16" t="s">
        <v>118</v>
      </c>
      <c r="Q220" s="16" t="s">
        <v>127</v>
      </c>
      <c r="R220" s="16" t="s">
        <v>104</v>
      </c>
      <c r="S220" s="16" t="s">
        <v>95</v>
      </c>
      <c r="T220" s="16" t="s">
        <v>86</v>
      </c>
      <c r="U220" s="16" t="s">
        <v>109</v>
      </c>
      <c r="V220" s="16" t="s">
        <v>122</v>
      </c>
      <c r="W220" s="16" t="s">
        <v>131</v>
      </c>
    </row>
    <row r="221" spans="1:23">
      <c r="A221" s="9" t="s">
        <v>1012</v>
      </c>
      <c r="B221" s="9">
        <f ca="1">+IF(A221=WORLDCUP!$BI$112,1,0)</f>
        <v>0</v>
      </c>
      <c r="C221" s="9" t="str">
        <f ca="1">+WORLDCUP!BD62</f>
        <v>Ivory Coast</v>
      </c>
      <c r="D221" s="9" t="str">
        <f ca="1">+WORLDCUP!BD64</f>
        <v>Egypt</v>
      </c>
      <c r="E221" s="9" t="str">
        <f ca="1">+WORLDCUP!BD67</f>
        <v>Algeria</v>
      </c>
      <c r="F221" s="9" t="str">
        <f ca="1">+WORLDCUP!BD60</f>
        <v>Scotland</v>
      </c>
      <c r="G221" s="9" t="str">
        <f ca="1">+WORLDCUP!BD58</f>
        <v>South Korea</v>
      </c>
      <c r="H221" s="9" t="str">
        <f ca="1">+WORLDCUP!BD63</f>
        <v>Tunisia</v>
      </c>
      <c r="I221" s="9" t="str">
        <f ca="1">+WORLDCUP!BD69</f>
        <v>Croatia</v>
      </c>
      <c r="J221" s="9" t="str">
        <f ca="1">+WORLDCUP!BD68</f>
        <v>DR Congo</v>
      </c>
      <c r="N221" s="16" t="s">
        <v>1012</v>
      </c>
      <c r="O221" s="16">
        <v>220</v>
      </c>
      <c r="P221" s="16" t="s">
        <v>104</v>
      </c>
      <c r="Q221" s="16" t="s">
        <v>113</v>
      </c>
      <c r="R221" s="16" t="s">
        <v>127</v>
      </c>
      <c r="S221" s="16" t="s">
        <v>95</v>
      </c>
      <c r="T221" s="16" t="s">
        <v>86</v>
      </c>
      <c r="U221" s="16" t="s">
        <v>109</v>
      </c>
      <c r="V221" s="16" t="s">
        <v>136</v>
      </c>
      <c r="W221" s="16" t="s">
        <v>131</v>
      </c>
    </row>
    <row r="222" spans="1:23">
      <c r="A222" s="9" t="s">
        <v>1013</v>
      </c>
      <c r="B222" s="9">
        <f ca="1">+IF(A222=WORLDCUP!$BI$112,1,0)</f>
        <v>0</v>
      </c>
      <c r="C222" s="9" t="str">
        <f ca="1">+WORLDCUP!BD62</f>
        <v>Ivory Coast</v>
      </c>
      <c r="D222" s="9" t="str">
        <f ca="1">+WORLDCUP!BD64</f>
        <v>Egypt</v>
      </c>
      <c r="E222" s="9" t="str">
        <f ca="1">+WORLDCUP!BD66</f>
        <v>Norway</v>
      </c>
      <c r="F222" s="9" t="str">
        <f ca="1">+WORLDCUP!BD60</f>
        <v>Scotland</v>
      </c>
      <c r="G222" s="9" t="str">
        <f ca="1">+WORLDCUP!BD58</f>
        <v>South Korea</v>
      </c>
      <c r="H222" s="9" t="str">
        <f ca="1">+WORLDCUP!BD63</f>
        <v>Tunisia</v>
      </c>
      <c r="I222" s="9" t="str">
        <f ca="1">+WORLDCUP!BD69</f>
        <v>Croatia</v>
      </c>
      <c r="J222" s="9" t="str">
        <f ca="1">+WORLDCUP!BD68</f>
        <v>DR Congo</v>
      </c>
      <c r="N222" s="16" t="s">
        <v>1013</v>
      </c>
      <c r="O222" s="16">
        <v>221</v>
      </c>
      <c r="P222" s="16" t="s">
        <v>104</v>
      </c>
      <c r="Q222" s="16" t="s">
        <v>113</v>
      </c>
      <c r="R222" s="16" t="s">
        <v>122</v>
      </c>
      <c r="S222" s="16" t="s">
        <v>95</v>
      </c>
      <c r="T222" s="16" t="s">
        <v>86</v>
      </c>
      <c r="U222" s="16" t="s">
        <v>109</v>
      </c>
      <c r="V222" s="16" t="s">
        <v>136</v>
      </c>
      <c r="W222" s="16" t="s">
        <v>131</v>
      </c>
    </row>
    <row r="223" spans="1:23">
      <c r="A223" s="9" t="s">
        <v>1014</v>
      </c>
      <c r="B223" s="9">
        <f ca="1">+IF(A223=WORLDCUP!$BI$112,1,0)</f>
        <v>0</v>
      </c>
      <c r="C223" s="9" t="str">
        <f ca="1">+WORLDCUP!BD62</f>
        <v>Ivory Coast</v>
      </c>
      <c r="D223" s="9" t="str">
        <f ca="1">+WORLDCUP!BD64</f>
        <v>Egypt</v>
      </c>
      <c r="E223" s="9" t="str">
        <f ca="1">+WORLDCUP!BD67</f>
        <v>Algeria</v>
      </c>
      <c r="F223" s="9" t="str">
        <f ca="1">+WORLDCUP!BD60</f>
        <v>Scotland</v>
      </c>
      <c r="G223" s="9" t="str">
        <f ca="1">+WORLDCUP!BD58</f>
        <v>South Korea</v>
      </c>
      <c r="H223" s="9" t="str">
        <f ca="1">+WORLDCUP!BD63</f>
        <v>Tunisia</v>
      </c>
      <c r="I223" s="9" t="str">
        <f ca="1">+WORLDCUP!BD69</f>
        <v>Croatia</v>
      </c>
      <c r="J223" s="9" t="str">
        <f ca="1">+WORLDCUP!BD66</f>
        <v>Norway</v>
      </c>
      <c r="N223" s="16" t="s">
        <v>1014</v>
      </c>
      <c r="O223" s="16">
        <v>222</v>
      </c>
      <c r="P223" s="16" t="s">
        <v>104</v>
      </c>
      <c r="Q223" s="16" t="s">
        <v>113</v>
      </c>
      <c r="R223" s="16" t="s">
        <v>127</v>
      </c>
      <c r="S223" s="16" t="s">
        <v>95</v>
      </c>
      <c r="T223" s="16" t="s">
        <v>86</v>
      </c>
      <c r="U223" s="16" t="s">
        <v>109</v>
      </c>
      <c r="V223" s="16" t="s">
        <v>136</v>
      </c>
      <c r="W223" s="16" t="s">
        <v>122</v>
      </c>
    </row>
    <row r="224" spans="1:23">
      <c r="A224" s="9" t="s">
        <v>1015</v>
      </c>
      <c r="B224" s="9">
        <f ca="1">+IF(A224=WORLDCUP!$BI$112,1,0)</f>
        <v>0</v>
      </c>
      <c r="C224" s="9" t="str">
        <f ca="1">+WORLDCUP!BD62</f>
        <v>Ivory Coast</v>
      </c>
      <c r="D224" s="9" t="str">
        <f ca="1">+WORLDCUP!BD64</f>
        <v>Egypt</v>
      </c>
      <c r="E224" s="9" t="str">
        <f ca="1">+WORLDCUP!BD67</f>
        <v>Algeria</v>
      </c>
      <c r="F224" s="9" t="str">
        <f ca="1">+WORLDCUP!BD60</f>
        <v>Scotland</v>
      </c>
      <c r="G224" s="9" t="str">
        <f ca="1">+WORLDCUP!BD58</f>
        <v>South Korea</v>
      </c>
      <c r="H224" s="9" t="str">
        <f ca="1">+WORLDCUP!BD63</f>
        <v>Tunisia</v>
      </c>
      <c r="I224" s="9" t="str">
        <f ca="1">+WORLDCUP!BD66</f>
        <v>Norway</v>
      </c>
      <c r="J224" s="9" t="str">
        <f ca="1">+WORLDCUP!BD68</f>
        <v>DR Congo</v>
      </c>
      <c r="N224" s="16" t="s">
        <v>1015</v>
      </c>
      <c r="O224" s="16">
        <v>223</v>
      </c>
      <c r="P224" s="16" t="s">
        <v>104</v>
      </c>
      <c r="Q224" s="16" t="s">
        <v>113</v>
      </c>
      <c r="R224" s="16" t="s">
        <v>127</v>
      </c>
      <c r="S224" s="16" t="s">
        <v>95</v>
      </c>
      <c r="T224" s="16" t="s">
        <v>86</v>
      </c>
      <c r="U224" s="16" t="s">
        <v>109</v>
      </c>
      <c r="V224" s="16" t="s">
        <v>122</v>
      </c>
      <c r="W224" s="16" t="s">
        <v>131</v>
      </c>
    </row>
    <row r="225" spans="1:23">
      <c r="A225" s="9" t="s">
        <v>1016</v>
      </c>
      <c r="B225" s="9">
        <f ca="1">+IF(A225=WORLDCUP!$BI$112,1,0)</f>
        <v>0</v>
      </c>
      <c r="C225" s="9" t="str">
        <f ca="1">+WORLDCUP!BD65</f>
        <v>Saudi Arabia</v>
      </c>
      <c r="D225" s="9" t="str">
        <f ca="1">+WORLDCUP!BD64</f>
        <v>Egypt</v>
      </c>
      <c r="E225" s="9" t="str">
        <f ca="1">+WORLDCUP!BD62</f>
        <v>Ivory Coast</v>
      </c>
      <c r="F225" s="9" t="str">
        <f ca="1">+WORLDCUP!BD60</f>
        <v>Scotland</v>
      </c>
      <c r="G225" s="9" t="str">
        <f ca="1">+WORLDCUP!BD58</f>
        <v>South Korea</v>
      </c>
      <c r="H225" s="9" t="str">
        <f ca="1">+WORLDCUP!BD63</f>
        <v>Tunisia</v>
      </c>
      <c r="I225" s="9" t="str">
        <f ca="1">+WORLDCUP!BD69</f>
        <v>Croatia</v>
      </c>
      <c r="J225" s="9" t="str">
        <f ca="1">+WORLDCUP!BD68</f>
        <v>DR Congo</v>
      </c>
      <c r="N225" s="16" t="s">
        <v>1016</v>
      </c>
      <c r="O225" s="16">
        <v>224</v>
      </c>
      <c r="P225" s="16" t="s">
        <v>118</v>
      </c>
      <c r="Q225" s="16" t="s">
        <v>113</v>
      </c>
      <c r="R225" s="16" t="s">
        <v>104</v>
      </c>
      <c r="S225" s="16" t="s">
        <v>95</v>
      </c>
      <c r="T225" s="16" t="s">
        <v>86</v>
      </c>
      <c r="U225" s="16" t="s">
        <v>109</v>
      </c>
      <c r="V225" s="16" t="s">
        <v>136</v>
      </c>
      <c r="W225" s="16" t="s">
        <v>131</v>
      </c>
    </row>
    <row r="226" spans="1:23">
      <c r="A226" s="9" t="s">
        <v>1017</v>
      </c>
      <c r="B226" s="9">
        <f ca="1">+IF(A226=WORLDCUP!$BI$112,1,0)</f>
        <v>0</v>
      </c>
      <c r="C226" s="9" t="str">
        <f ca="1">+WORLDCUP!BD65</f>
        <v>Saudi Arabia</v>
      </c>
      <c r="D226" s="9" t="str">
        <f ca="1">+WORLDCUP!BD64</f>
        <v>Egypt</v>
      </c>
      <c r="E226" s="9" t="str">
        <f ca="1">+WORLDCUP!BD67</f>
        <v>Algeria</v>
      </c>
      <c r="F226" s="9" t="str">
        <f ca="1">+WORLDCUP!BD60</f>
        <v>Scotland</v>
      </c>
      <c r="G226" s="9" t="str">
        <f ca="1">+WORLDCUP!BD58</f>
        <v>South Korea</v>
      </c>
      <c r="H226" s="9" t="str">
        <f ca="1">+WORLDCUP!BD63</f>
        <v>Tunisia</v>
      </c>
      <c r="I226" s="9" t="str">
        <f ca="1">+WORLDCUP!BD69</f>
        <v>Croatia</v>
      </c>
      <c r="J226" s="9" t="str">
        <f ca="1">+WORLDCUP!BD62</f>
        <v>Ivory Coast</v>
      </c>
      <c r="N226" s="16" t="s">
        <v>1017</v>
      </c>
      <c r="O226" s="16">
        <v>225</v>
      </c>
      <c r="P226" s="16" t="s">
        <v>118</v>
      </c>
      <c r="Q226" s="16" t="s">
        <v>113</v>
      </c>
      <c r="R226" s="16" t="s">
        <v>127</v>
      </c>
      <c r="S226" s="16" t="s">
        <v>95</v>
      </c>
      <c r="T226" s="16" t="s">
        <v>86</v>
      </c>
      <c r="U226" s="16" t="s">
        <v>109</v>
      </c>
      <c r="V226" s="16" t="s">
        <v>136</v>
      </c>
      <c r="W226" s="16" t="s">
        <v>104</v>
      </c>
    </row>
    <row r="227" spans="1:23">
      <c r="A227" s="9" t="s">
        <v>1018</v>
      </c>
      <c r="B227" s="9">
        <f ca="1">+IF(A227=WORLDCUP!$BI$112,1,0)</f>
        <v>0</v>
      </c>
      <c r="C227" s="9" t="str">
        <f ca="1">+WORLDCUP!BD65</f>
        <v>Saudi Arabia</v>
      </c>
      <c r="D227" s="9" t="str">
        <f ca="1">+WORLDCUP!BD64</f>
        <v>Egypt</v>
      </c>
      <c r="E227" s="9" t="str">
        <f ca="1">+WORLDCUP!BD67</f>
        <v>Algeria</v>
      </c>
      <c r="F227" s="9" t="str">
        <f ca="1">+WORLDCUP!BD60</f>
        <v>Scotland</v>
      </c>
      <c r="G227" s="9" t="str">
        <f ca="1">+WORLDCUP!BD58</f>
        <v>South Korea</v>
      </c>
      <c r="H227" s="9" t="str">
        <f ca="1">+WORLDCUP!BD63</f>
        <v>Tunisia</v>
      </c>
      <c r="I227" s="9" t="str">
        <f ca="1">+WORLDCUP!BD62</f>
        <v>Ivory Coast</v>
      </c>
      <c r="J227" s="9" t="str">
        <f ca="1">+WORLDCUP!BD68</f>
        <v>DR Congo</v>
      </c>
      <c r="N227" s="16" t="s">
        <v>1018</v>
      </c>
      <c r="O227" s="16">
        <v>226</v>
      </c>
      <c r="P227" s="16" t="s">
        <v>118</v>
      </c>
      <c r="Q227" s="16" t="s">
        <v>113</v>
      </c>
      <c r="R227" s="16" t="s">
        <v>127</v>
      </c>
      <c r="S227" s="16" t="s">
        <v>95</v>
      </c>
      <c r="T227" s="16" t="s">
        <v>86</v>
      </c>
      <c r="U227" s="16" t="s">
        <v>109</v>
      </c>
      <c r="V227" s="16" t="s">
        <v>104</v>
      </c>
      <c r="W227" s="16" t="s">
        <v>131</v>
      </c>
    </row>
    <row r="228" spans="1:23">
      <c r="A228" s="9" t="s">
        <v>1019</v>
      </c>
      <c r="B228" s="9">
        <f ca="1">+IF(A228=WORLDCUP!$BI$112,1,0)</f>
        <v>0</v>
      </c>
      <c r="C228" s="9" t="str">
        <f ca="1">+WORLDCUP!BD65</f>
        <v>Saudi Arabia</v>
      </c>
      <c r="D228" s="9" t="str">
        <f ca="1">+WORLDCUP!BD64</f>
        <v>Egypt</v>
      </c>
      <c r="E228" s="9" t="str">
        <f ca="1">+WORLDCUP!BD62</f>
        <v>Ivory Coast</v>
      </c>
      <c r="F228" s="9" t="str">
        <f ca="1">+WORLDCUP!BD60</f>
        <v>Scotland</v>
      </c>
      <c r="G228" s="9" t="str">
        <f ca="1">+WORLDCUP!BD58</f>
        <v>South Korea</v>
      </c>
      <c r="H228" s="9" t="str">
        <f ca="1">+WORLDCUP!BD63</f>
        <v>Tunisia</v>
      </c>
      <c r="I228" s="9" t="str">
        <f ca="1">+WORLDCUP!BD69</f>
        <v>Croatia</v>
      </c>
      <c r="J228" s="9" t="str">
        <f ca="1">+WORLDCUP!BD66</f>
        <v>Norway</v>
      </c>
      <c r="N228" s="16" t="s">
        <v>1019</v>
      </c>
      <c r="O228" s="16">
        <v>227</v>
      </c>
      <c r="P228" s="16" t="s">
        <v>118</v>
      </c>
      <c r="Q228" s="16" t="s">
        <v>113</v>
      </c>
      <c r="R228" s="16" t="s">
        <v>104</v>
      </c>
      <c r="S228" s="16" t="s">
        <v>95</v>
      </c>
      <c r="T228" s="16" t="s">
        <v>86</v>
      </c>
      <c r="U228" s="16" t="s">
        <v>109</v>
      </c>
      <c r="V228" s="16" t="s">
        <v>136</v>
      </c>
      <c r="W228" s="16" t="s">
        <v>122</v>
      </c>
    </row>
    <row r="229" spans="1:23">
      <c r="A229" s="9" t="s">
        <v>1020</v>
      </c>
      <c r="B229" s="9">
        <f ca="1">+IF(A229=WORLDCUP!$BI$112,1,0)</f>
        <v>0</v>
      </c>
      <c r="C229" s="9" t="str">
        <f ca="1">+WORLDCUP!BD65</f>
        <v>Saudi Arabia</v>
      </c>
      <c r="D229" s="9" t="str">
        <f ca="1">+WORLDCUP!BD64</f>
        <v>Egypt</v>
      </c>
      <c r="E229" s="9" t="str">
        <f ca="1">+WORLDCUP!BD62</f>
        <v>Ivory Coast</v>
      </c>
      <c r="F229" s="9" t="str">
        <f ca="1">+WORLDCUP!BD60</f>
        <v>Scotland</v>
      </c>
      <c r="G229" s="9" t="str">
        <f ca="1">+WORLDCUP!BD58</f>
        <v>South Korea</v>
      </c>
      <c r="H229" s="9" t="str">
        <f ca="1">+WORLDCUP!BD63</f>
        <v>Tunisia</v>
      </c>
      <c r="I229" s="9" t="str">
        <f ca="1">+WORLDCUP!BD66</f>
        <v>Norway</v>
      </c>
      <c r="J229" s="9" t="str">
        <f ca="1">+WORLDCUP!BD68</f>
        <v>DR Congo</v>
      </c>
      <c r="N229" s="16" t="s">
        <v>1020</v>
      </c>
      <c r="O229" s="16">
        <v>228</v>
      </c>
      <c r="P229" s="16" t="s">
        <v>118</v>
      </c>
      <c r="Q229" s="16" t="s">
        <v>113</v>
      </c>
      <c r="R229" s="16" t="s">
        <v>104</v>
      </c>
      <c r="S229" s="16" t="s">
        <v>95</v>
      </c>
      <c r="T229" s="16" t="s">
        <v>86</v>
      </c>
      <c r="U229" s="16" t="s">
        <v>109</v>
      </c>
      <c r="V229" s="16" t="s">
        <v>122</v>
      </c>
      <c r="W229" s="16" t="s">
        <v>131</v>
      </c>
    </row>
    <row r="230" spans="1:23">
      <c r="A230" s="9" t="s">
        <v>1021</v>
      </c>
      <c r="B230" s="9">
        <f ca="1">+IF(A230=WORLDCUP!$BI$112,1,0)</f>
        <v>0</v>
      </c>
      <c r="C230" s="9" t="str">
        <f ca="1">+WORLDCUP!BD65</f>
        <v>Saudi Arabia</v>
      </c>
      <c r="D230" s="9" t="str">
        <f ca="1">+WORLDCUP!BD64</f>
        <v>Egypt</v>
      </c>
      <c r="E230" s="9" t="str">
        <f ca="1">+WORLDCUP!BD67</f>
        <v>Algeria</v>
      </c>
      <c r="F230" s="9" t="str">
        <f ca="1">+WORLDCUP!BD60</f>
        <v>Scotland</v>
      </c>
      <c r="G230" s="9" t="str">
        <f ca="1">+WORLDCUP!BD58</f>
        <v>South Korea</v>
      </c>
      <c r="H230" s="9" t="str">
        <f ca="1">+WORLDCUP!BD63</f>
        <v>Tunisia</v>
      </c>
      <c r="I230" s="9" t="str">
        <f ca="1">+WORLDCUP!BD62</f>
        <v>Ivory Coast</v>
      </c>
      <c r="J230" s="9" t="str">
        <f ca="1">+WORLDCUP!BD66</f>
        <v>Norway</v>
      </c>
      <c r="N230" s="16" t="s">
        <v>1021</v>
      </c>
      <c r="O230" s="16">
        <v>229</v>
      </c>
      <c r="P230" s="16" t="s">
        <v>118</v>
      </c>
      <c r="Q230" s="16" t="s">
        <v>113</v>
      </c>
      <c r="R230" s="16" t="s">
        <v>127</v>
      </c>
      <c r="S230" s="16" t="s">
        <v>95</v>
      </c>
      <c r="T230" s="16" t="s">
        <v>86</v>
      </c>
      <c r="U230" s="16" t="s">
        <v>109</v>
      </c>
      <c r="V230" s="16" t="s">
        <v>104</v>
      </c>
      <c r="W230" s="16" t="s">
        <v>122</v>
      </c>
    </row>
    <row r="231" spans="1:23">
      <c r="A231" s="9" t="s">
        <v>1022</v>
      </c>
      <c r="B231" s="9">
        <f ca="1">+IF(A231=WORLDCUP!$BI$112,1,0)</f>
        <v>0</v>
      </c>
      <c r="C231" s="9" t="str">
        <f ca="1">+WORLDCUP!BD65</f>
        <v>Saudi Arabia</v>
      </c>
      <c r="D231" s="9" t="str">
        <f ca="1">+WORLDCUP!BD67</f>
        <v>Algeria</v>
      </c>
      <c r="E231" s="9" t="str">
        <f ca="1">+WORLDCUP!BD66</f>
        <v>Norway</v>
      </c>
      <c r="F231" s="9" t="str">
        <f ca="1">+WORLDCUP!BD60</f>
        <v>Scotland</v>
      </c>
      <c r="G231" s="9" t="str">
        <f ca="1">+WORLDCUP!BD58</f>
        <v>South Korea</v>
      </c>
      <c r="H231" s="9" t="str">
        <f ca="1">+WORLDCUP!BD61</f>
        <v>Australia</v>
      </c>
      <c r="I231" s="9" t="str">
        <f ca="1">+WORLDCUP!BD69</f>
        <v>Croatia</v>
      </c>
      <c r="J231" s="9" t="str">
        <f ca="1">+WORLDCUP!BD68</f>
        <v>DR Congo</v>
      </c>
      <c r="N231" s="16" t="s">
        <v>1022</v>
      </c>
      <c r="O231" s="16">
        <v>230</v>
      </c>
      <c r="P231" s="16" t="s">
        <v>118</v>
      </c>
      <c r="Q231" s="16" t="s">
        <v>127</v>
      </c>
      <c r="R231" s="16" t="s">
        <v>122</v>
      </c>
      <c r="S231" s="16" t="s">
        <v>95</v>
      </c>
      <c r="T231" s="16" t="s">
        <v>86</v>
      </c>
      <c r="U231" s="16" t="s">
        <v>100</v>
      </c>
      <c r="V231" s="16" t="s">
        <v>136</v>
      </c>
      <c r="W231" s="16" t="s">
        <v>131</v>
      </c>
    </row>
    <row r="232" spans="1:23">
      <c r="A232" s="9" t="s">
        <v>1023</v>
      </c>
      <c r="B232" s="9">
        <f ca="1">+IF(A232=WORLDCUP!$BI$112,1,0)</f>
        <v>0</v>
      </c>
      <c r="C232" s="9" t="str">
        <f ca="1">+WORLDCUP!BD66</f>
        <v>Norway</v>
      </c>
      <c r="D232" s="9" t="str">
        <f ca="1">+WORLDCUP!BD64</f>
        <v>Egypt</v>
      </c>
      <c r="E232" s="9" t="str">
        <f ca="1">+WORLDCUP!BD67</f>
        <v>Algeria</v>
      </c>
      <c r="F232" s="9" t="str">
        <f ca="1">+WORLDCUP!BD60</f>
        <v>Scotland</v>
      </c>
      <c r="G232" s="9" t="str">
        <f ca="1">+WORLDCUP!BD58</f>
        <v>South Korea</v>
      </c>
      <c r="H232" s="9" t="str">
        <f ca="1">+WORLDCUP!BD61</f>
        <v>Australia</v>
      </c>
      <c r="I232" s="9" t="str">
        <f ca="1">+WORLDCUP!BD69</f>
        <v>Croatia</v>
      </c>
      <c r="J232" s="9" t="str">
        <f ca="1">+WORLDCUP!BD68</f>
        <v>DR Congo</v>
      </c>
      <c r="N232" s="16" t="s">
        <v>1023</v>
      </c>
      <c r="O232" s="16">
        <v>231</v>
      </c>
      <c r="P232" s="16" t="s">
        <v>122</v>
      </c>
      <c r="Q232" s="16" t="s">
        <v>113</v>
      </c>
      <c r="R232" s="16" t="s">
        <v>127</v>
      </c>
      <c r="S232" s="16" t="s">
        <v>95</v>
      </c>
      <c r="T232" s="16" t="s">
        <v>86</v>
      </c>
      <c r="U232" s="16" t="s">
        <v>100</v>
      </c>
      <c r="V232" s="16" t="s">
        <v>136</v>
      </c>
      <c r="W232" s="16" t="s">
        <v>131</v>
      </c>
    </row>
    <row r="233" spans="1:23">
      <c r="A233" s="9" t="s">
        <v>1024</v>
      </c>
      <c r="B233" s="9">
        <f ca="1">+IF(A233=WORLDCUP!$BI$112,1,0)</f>
        <v>0</v>
      </c>
      <c r="C233" s="9" t="str">
        <f ca="1">+WORLDCUP!BD65</f>
        <v>Saudi Arabia</v>
      </c>
      <c r="D233" s="9" t="str">
        <f ca="1">+WORLDCUP!BD64</f>
        <v>Egypt</v>
      </c>
      <c r="E233" s="9" t="str">
        <f ca="1">+WORLDCUP!BD67</f>
        <v>Algeria</v>
      </c>
      <c r="F233" s="9" t="str">
        <f ca="1">+WORLDCUP!BD60</f>
        <v>Scotland</v>
      </c>
      <c r="G233" s="9" t="str">
        <f ca="1">+WORLDCUP!BD58</f>
        <v>South Korea</v>
      </c>
      <c r="H233" s="9" t="str">
        <f ca="1">+WORLDCUP!BD61</f>
        <v>Australia</v>
      </c>
      <c r="I233" s="9" t="str">
        <f ca="1">+WORLDCUP!BD69</f>
        <v>Croatia</v>
      </c>
      <c r="J233" s="9" t="str">
        <f ca="1">+WORLDCUP!BD68</f>
        <v>DR Congo</v>
      </c>
      <c r="N233" s="16" t="s">
        <v>1024</v>
      </c>
      <c r="O233" s="16">
        <v>232</v>
      </c>
      <c r="P233" s="16" t="s">
        <v>118</v>
      </c>
      <c r="Q233" s="16" t="s">
        <v>113</v>
      </c>
      <c r="R233" s="16" t="s">
        <v>127</v>
      </c>
      <c r="S233" s="16" t="s">
        <v>95</v>
      </c>
      <c r="T233" s="16" t="s">
        <v>86</v>
      </c>
      <c r="U233" s="16" t="s">
        <v>100</v>
      </c>
      <c r="V233" s="16" t="s">
        <v>136</v>
      </c>
      <c r="W233" s="16" t="s">
        <v>131</v>
      </c>
    </row>
    <row r="234" spans="1:23">
      <c r="A234" s="9" t="s">
        <v>1025</v>
      </c>
      <c r="B234" s="9">
        <f ca="1">+IF(A234=WORLDCUP!$BI$112,1,0)</f>
        <v>0</v>
      </c>
      <c r="C234" s="9" t="str">
        <f ca="1">+WORLDCUP!BD65</f>
        <v>Saudi Arabia</v>
      </c>
      <c r="D234" s="9" t="str">
        <f ca="1">+WORLDCUP!BD64</f>
        <v>Egypt</v>
      </c>
      <c r="E234" s="9" t="str">
        <f ca="1">+WORLDCUP!BD66</f>
        <v>Norway</v>
      </c>
      <c r="F234" s="9" t="str">
        <f ca="1">+WORLDCUP!BD60</f>
        <v>Scotland</v>
      </c>
      <c r="G234" s="9" t="str">
        <f ca="1">+WORLDCUP!BD58</f>
        <v>South Korea</v>
      </c>
      <c r="H234" s="9" t="str">
        <f ca="1">+WORLDCUP!BD61</f>
        <v>Australia</v>
      </c>
      <c r="I234" s="9" t="str">
        <f ca="1">+WORLDCUP!BD69</f>
        <v>Croatia</v>
      </c>
      <c r="J234" s="9" t="str">
        <f ca="1">+WORLDCUP!BD68</f>
        <v>DR Congo</v>
      </c>
      <c r="N234" s="16" t="s">
        <v>1025</v>
      </c>
      <c r="O234" s="16">
        <v>233</v>
      </c>
      <c r="P234" s="16" t="s">
        <v>118</v>
      </c>
      <c r="Q234" s="16" t="s">
        <v>113</v>
      </c>
      <c r="R234" s="16" t="s">
        <v>122</v>
      </c>
      <c r="S234" s="16" t="s">
        <v>95</v>
      </c>
      <c r="T234" s="16" t="s">
        <v>86</v>
      </c>
      <c r="U234" s="16" t="s">
        <v>100</v>
      </c>
      <c r="V234" s="16" t="s">
        <v>136</v>
      </c>
      <c r="W234" s="16" t="s">
        <v>131</v>
      </c>
    </row>
    <row r="235" spans="1:23">
      <c r="A235" s="9" t="s">
        <v>1026</v>
      </c>
      <c r="B235" s="9">
        <f ca="1">+IF(A235=WORLDCUP!$BI$112,1,0)</f>
        <v>0</v>
      </c>
      <c r="C235" s="9" t="str">
        <f ca="1">+WORLDCUP!BD65</f>
        <v>Saudi Arabia</v>
      </c>
      <c r="D235" s="9" t="str">
        <f ca="1">+WORLDCUP!BD64</f>
        <v>Egypt</v>
      </c>
      <c r="E235" s="9" t="str">
        <f ca="1">+WORLDCUP!BD67</f>
        <v>Algeria</v>
      </c>
      <c r="F235" s="9" t="str">
        <f ca="1">+WORLDCUP!BD60</f>
        <v>Scotland</v>
      </c>
      <c r="G235" s="9" t="str">
        <f ca="1">+WORLDCUP!BD58</f>
        <v>South Korea</v>
      </c>
      <c r="H235" s="9" t="str">
        <f ca="1">+WORLDCUP!BD61</f>
        <v>Australia</v>
      </c>
      <c r="I235" s="9" t="str">
        <f ca="1">+WORLDCUP!BD69</f>
        <v>Croatia</v>
      </c>
      <c r="J235" s="9" t="str">
        <f ca="1">+WORLDCUP!BD66</f>
        <v>Norway</v>
      </c>
      <c r="N235" s="16" t="s">
        <v>1026</v>
      </c>
      <c r="O235" s="16">
        <v>234</v>
      </c>
      <c r="P235" s="16" t="s">
        <v>118</v>
      </c>
      <c r="Q235" s="16" t="s">
        <v>113</v>
      </c>
      <c r="R235" s="16" t="s">
        <v>127</v>
      </c>
      <c r="S235" s="16" t="s">
        <v>95</v>
      </c>
      <c r="T235" s="16" t="s">
        <v>86</v>
      </c>
      <c r="U235" s="16" t="s">
        <v>100</v>
      </c>
      <c r="V235" s="16" t="s">
        <v>136</v>
      </c>
      <c r="W235" s="16" t="s">
        <v>122</v>
      </c>
    </row>
    <row r="236" spans="1:23">
      <c r="A236" s="9" t="s">
        <v>1027</v>
      </c>
      <c r="B236" s="9">
        <f ca="1">+IF(A236=WORLDCUP!$BI$112,1,0)</f>
        <v>0</v>
      </c>
      <c r="C236" s="9" t="str">
        <f ca="1">+WORLDCUP!BD65</f>
        <v>Saudi Arabia</v>
      </c>
      <c r="D236" s="9" t="str">
        <f ca="1">+WORLDCUP!BD64</f>
        <v>Egypt</v>
      </c>
      <c r="E236" s="9" t="str">
        <f ca="1">+WORLDCUP!BD67</f>
        <v>Algeria</v>
      </c>
      <c r="F236" s="9" t="str">
        <f ca="1">+WORLDCUP!BD60</f>
        <v>Scotland</v>
      </c>
      <c r="G236" s="9" t="str">
        <f ca="1">+WORLDCUP!BD58</f>
        <v>South Korea</v>
      </c>
      <c r="H236" s="9" t="str">
        <f ca="1">+WORLDCUP!BD61</f>
        <v>Australia</v>
      </c>
      <c r="I236" s="9" t="str">
        <f ca="1">+WORLDCUP!BD66</f>
        <v>Norway</v>
      </c>
      <c r="J236" s="9" t="str">
        <f ca="1">+WORLDCUP!BD68</f>
        <v>DR Congo</v>
      </c>
      <c r="N236" s="16" t="s">
        <v>1027</v>
      </c>
      <c r="O236" s="16">
        <v>235</v>
      </c>
      <c r="P236" s="16" t="s">
        <v>118</v>
      </c>
      <c r="Q236" s="16" t="s">
        <v>113</v>
      </c>
      <c r="R236" s="16" t="s">
        <v>127</v>
      </c>
      <c r="S236" s="16" t="s">
        <v>95</v>
      </c>
      <c r="T236" s="16" t="s">
        <v>86</v>
      </c>
      <c r="U236" s="16" t="s">
        <v>100</v>
      </c>
      <c r="V236" s="16" t="s">
        <v>122</v>
      </c>
      <c r="W236" s="16" t="s">
        <v>131</v>
      </c>
    </row>
    <row r="237" spans="1:23">
      <c r="A237" s="9" t="s">
        <v>1028</v>
      </c>
      <c r="B237" s="9">
        <f ca="1">+IF(A237=WORLDCUP!$BI$112,1,0)</f>
        <v>0</v>
      </c>
      <c r="C237" s="9" t="str">
        <f ca="1">+WORLDCUP!BD60</f>
        <v>Scotland</v>
      </c>
      <c r="D237" s="9" t="str">
        <f ca="1">+WORLDCUP!BD67</f>
        <v>Algeria</v>
      </c>
      <c r="E237" s="9" t="str">
        <f ca="1">+WORLDCUP!BD66</f>
        <v>Norway</v>
      </c>
      <c r="F237" s="9" t="str">
        <f ca="1">+WORLDCUP!BD61</f>
        <v>Australia</v>
      </c>
      <c r="G237" s="9" t="str">
        <f ca="1">+WORLDCUP!BD58</f>
        <v>South Korea</v>
      </c>
      <c r="H237" s="9" t="str">
        <f ca="1">+WORLDCUP!BD63</f>
        <v>Tunisia</v>
      </c>
      <c r="I237" s="9" t="str">
        <f ca="1">+WORLDCUP!BD69</f>
        <v>Croatia</v>
      </c>
      <c r="J237" s="9" t="str">
        <f ca="1">+WORLDCUP!BD68</f>
        <v>DR Congo</v>
      </c>
      <c r="N237" s="16" t="s">
        <v>1028</v>
      </c>
      <c r="O237" s="16">
        <v>236</v>
      </c>
      <c r="P237" s="16" t="s">
        <v>95</v>
      </c>
      <c r="Q237" s="16" t="s">
        <v>127</v>
      </c>
      <c r="R237" s="16" t="s">
        <v>122</v>
      </c>
      <c r="S237" s="16" t="s">
        <v>100</v>
      </c>
      <c r="T237" s="16" t="s">
        <v>86</v>
      </c>
      <c r="U237" s="16" t="s">
        <v>109</v>
      </c>
      <c r="V237" s="16" t="s">
        <v>136</v>
      </c>
      <c r="W237" s="16" t="s">
        <v>131</v>
      </c>
    </row>
    <row r="238" spans="1:23">
      <c r="A238" s="9" t="s">
        <v>1029</v>
      </c>
      <c r="B238" s="9">
        <f ca="1">+IF(A238=WORLDCUP!$BI$112,1,0)</f>
        <v>0</v>
      </c>
      <c r="C238" s="9" t="str">
        <f ca="1">+WORLDCUP!BD65</f>
        <v>Saudi Arabia</v>
      </c>
      <c r="D238" s="9" t="str">
        <f ca="1">+WORLDCUP!BD67</f>
        <v>Algeria</v>
      </c>
      <c r="E238" s="9" t="str">
        <f ca="1">+WORLDCUP!BD63</f>
        <v>Tunisia</v>
      </c>
      <c r="F238" s="9" t="str">
        <f ca="1">+WORLDCUP!BD60</f>
        <v>Scotland</v>
      </c>
      <c r="G238" s="9" t="str">
        <f ca="1">+WORLDCUP!BD58</f>
        <v>South Korea</v>
      </c>
      <c r="H238" s="9" t="str">
        <f ca="1">+WORLDCUP!BD61</f>
        <v>Australia</v>
      </c>
      <c r="I238" s="9" t="str">
        <f ca="1">+WORLDCUP!BD69</f>
        <v>Croatia</v>
      </c>
      <c r="J238" s="9" t="str">
        <f ca="1">+WORLDCUP!BD68</f>
        <v>DR Congo</v>
      </c>
      <c r="N238" s="16" t="s">
        <v>1029</v>
      </c>
      <c r="O238" s="16">
        <v>237</v>
      </c>
      <c r="P238" s="16" t="s">
        <v>118</v>
      </c>
      <c r="Q238" s="16" t="s">
        <v>127</v>
      </c>
      <c r="R238" s="16" t="s">
        <v>109</v>
      </c>
      <c r="S238" s="16" t="s">
        <v>95</v>
      </c>
      <c r="T238" s="16" t="s">
        <v>86</v>
      </c>
      <c r="U238" s="16" t="s">
        <v>100</v>
      </c>
      <c r="V238" s="16" t="s">
        <v>136</v>
      </c>
      <c r="W238" s="16" t="s">
        <v>131</v>
      </c>
    </row>
    <row r="239" spans="1:23">
      <c r="A239" s="9" t="s">
        <v>1030</v>
      </c>
      <c r="B239" s="9">
        <f ca="1">+IF(A239=WORLDCUP!$BI$112,1,0)</f>
        <v>0</v>
      </c>
      <c r="C239" s="9" t="str">
        <f ca="1">+WORLDCUP!BD65</f>
        <v>Saudi Arabia</v>
      </c>
      <c r="D239" s="9" t="str">
        <f ca="1">+WORLDCUP!BD63</f>
        <v>Tunisia</v>
      </c>
      <c r="E239" s="9" t="str">
        <f ca="1">+WORLDCUP!BD66</f>
        <v>Norway</v>
      </c>
      <c r="F239" s="9" t="str">
        <f ca="1">+WORLDCUP!BD60</f>
        <v>Scotland</v>
      </c>
      <c r="G239" s="9" t="str">
        <f ca="1">+WORLDCUP!BD58</f>
        <v>South Korea</v>
      </c>
      <c r="H239" s="9" t="str">
        <f ca="1">+WORLDCUP!BD61</f>
        <v>Australia</v>
      </c>
      <c r="I239" s="9" t="str">
        <f ca="1">+WORLDCUP!BD69</f>
        <v>Croatia</v>
      </c>
      <c r="J239" s="9" t="str">
        <f ca="1">+WORLDCUP!BD68</f>
        <v>DR Congo</v>
      </c>
      <c r="N239" s="16" t="s">
        <v>1030</v>
      </c>
      <c r="O239" s="16">
        <v>238</v>
      </c>
      <c r="P239" s="16" t="s">
        <v>118</v>
      </c>
      <c r="Q239" s="16" t="s">
        <v>109</v>
      </c>
      <c r="R239" s="16" t="s">
        <v>122</v>
      </c>
      <c r="S239" s="16" t="s">
        <v>95</v>
      </c>
      <c r="T239" s="16" t="s">
        <v>86</v>
      </c>
      <c r="U239" s="16" t="s">
        <v>100</v>
      </c>
      <c r="V239" s="16" t="s">
        <v>136</v>
      </c>
      <c r="W239" s="16" t="s">
        <v>131</v>
      </c>
    </row>
    <row r="240" spans="1:23">
      <c r="A240" s="9" t="s">
        <v>1031</v>
      </c>
      <c r="B240" s="9">
        <f ca="1">+IF(A240=WORLDCUP!$BI$112,1,0)</f>
        <v>0</v>
      </c>
      <c r="C240" s="9" t="str">
        <f ca="1">+WORLDCUP!BD65</f>
        <v>Saudi Arabia</v>
      </c>
      <c r="D240" s="9" t="str">
        <f ca="1">+WORLDCUP!BD67</f>
        <v>Algeria</v>
      </c>
      <c r="E240" s="9" t="str">
        <f ca="1">+WORLDCUP!BD63</f>
        <v>Tunisia</v>
      </c>
      <c r="F240" s="9" t="str">
        <f ca="1">+WORLDCUP!BD60</f>
        <v>Scotland</v>
      </c>
      <c r="G240" s="9" t="str">
        <f ca="1">+WORLDCUP!BD58</f>
        <v>South Korea</v>
      </c>
      <c r="H240" s="9" t="str">
        <f ca="1">+WORLDCUP!BD61</f>
        <v>Australia</v>
      </c>
      <c r="I240" s="9" t="str">
        <f ca="1">+WORLDCUP!BD69</f>
        <v>Croatia</v>
      </c>
      <c r="J240" s="9" t="str">
        <f ca="1">+WORLDCUP!BD66</f>
        <v>Norway</v>
      </c>
      <c r="N240" s="16" t="s">
        <v>1031</v>
      </c>
      <c r="O240" s="16">
        <v>239</v>
      </c>
      <c r="P240" s="16" t="s">
        <v>118</v>
      </c>
      <c r="Q240" s="16" t="s">
        <v>127</v>
      </c>
      <c r="R240" s="16" t="s">
        <v>109</v>
      </c>
      <c r="S240" s="16" t="s">
        <v>95</v>
      </c>
      <c r="T240" s="16" t="s">
        <v>86</v>
      </c>
      <c r="U240" s="16" t="s">
        <v>100</v>
      </c>
      <c r="V240" s="16" t="s">
        <v>136</v>
      </c>
      <c r="W240" s="16" t="s">
        <v>122</v>
      </c>
    </row>
    <row r="241" spans="1:23">
      <c r="A241" s="9" t="s">
        <v>1032</v>
      </c>
      <c r="B241" s="9">
        <f ca="1">+IF(A241=WORLDCUP!$BI$112,1,0)</f>
        <v>0</v>
      </c>
      <c r="C241" s="9" t="str">
        <f ca="1">+WORLDCUP!BD65</f>
        <v>Saudi Arabia</v>
      </c>
      <c r="D241" s="9" t="str">
        <f ca="1">+WORLDCUP!BD67</f>
        <v>Algeria</v>
      </c>
      <c r="E241" s="9" t="str">
        <f ca="1">+WORLDCUP!BD63</f>
        <v>Tunisia</v>
      </c>
      <c r="F241" s="9" t="str">
        <f ca="1">+WORLDCUP!BD60</f>
        <v>Scotland</v>
      </c>
      <c r="G241" s="9" t="str">
        <f ca="1">+WORLDCUP!BD58</f>
        <v>South Korea</v>
      </c>
      <c r="H241" s="9" t="str">
        <f ca="1">+WORLDCUP!BD61</f>
        <v>Australia</v>
      </c>
      <c r="I241" s="9" t="str">
        <f ca="1">+WORLDCUP!BD66</f>
        <v>Norway</v>
      </c>
      <c r="J241" s="9" t="str">
        <f ca="1">+WORLDCUP!BD68</f>
        <v>DR Congo</v>
      </c>
      <c r="N241" s="16" t="s">
        <v>1032</v>
      </c>
      <c r="O241" s="16">
        <v>240</v>
      </c>
      <c r="P241" s="16" t="s">
        <v>118</v>
      </c>
      <c r="Q241" s="16" t="s">
        <v>127</v>
      </c>
      <c r="R241" s="16" t="s">
        <v>109</v>
      </c>
      <c r="S241" s="16" t="s">
        <v>95</v>
      </c>
      <c r="T241" s="16" t="s">
        <v>86</v>
      </c>
      <c r="U241" s="16" t="s">
        <v>100</v>
      </c>
      <c r="V241" s="16" t="s">
        <v>122</v>
      </c>
      <c r="W241" s="16" t="s">
        <v>131</v>
      </c>
    </row>
    <row r="242" spans="1:23">
      <c r="A242" s="9" t="s">
        <v>1033</v>
      </c>
      <c r="B242" s="9">
        <f ca="1">+IF(A242=WORLDCUP!$BI$112,1,0)</f>
        <v>0</v>
      </c>
      <c r="C242" s="9" t="str">
        <f ca="1">+WORLDCUP!BD60</f>
        <v>Scotland</v>
      </c>
      <c r="D242" s="9" t="str">
        <f ca="1">+WORLDCUP!BD64</f>
        <v>Egypt</v>
      </c>
      <c r="E242" s="9" t="str">
        <f ca="1">+WORLDCUP!BD67</f>
        <v>Algeria</v>
      </c>
      <c r="F242" s="9" t="str">
        <f ca="1">+WORLDCUP!BD61</f>
        <v>Australia</v>
      </c>
      <c r="G242" s="9" t="str">
        <f ca="1">+WORLDCUP!BD58</f>
        <v>South Korea</v>
      </c>
      <c r="H242" s="9" t="str">
        <f ca="1">+WORLDCUP!BD63</f>
        <v>Tunisia</v>
      </c>
      <c r="I242" s="9" t="str">
        <f ca="1">+WORLDCUP!BD69</f>
        <v>Croatia</v>
      </c>
      <c r="J242" s="9" t="str">
        <f ca="1">+WORLDCUP!BD68</f>
        <v>DR Congo</v>
      </c>
      <c r="N242" s="16" t="s">
        <v>1033</v>
      </c>
      <c r="O242" s="16">
        <v>241</v>
      </c>
      <c r="P242" s="16" t="s">
        <v>95</v>
      </c>
      <c r="Q242" s="16" t="s">
        <v>113</v>
      </c>
      <c r="R242" s="16" t="s">
        <v>127</v>
      </c>
      <c r="S242" s="16" t="s">
        <v>100</v>
      </c>
      <c r="T242" s="16" t="s">
        <v>86</v>
      </c>
      <c r="U242" s="16" t="s">
        <v>109</v>
      </c>
      <c r="V242" s="16" t="s">
        <v>136</v>
      </c>
      <c r="W242" s="16" t="s">
        <v>131</v>
      </c>
    </row>
    <row r="243" spans="1:23">
      <c r="A243" s="9" t="s">
        <v>1034</v>
      </c>
      <c r="B243" s="9">
        <f ca="1">+IF(A243=WORLDCUP!$BI$112,1,0)</f>
        <v>0</v>
      </c>
      <c r="C243" s="9" t="str">
        <f ca="1">+WORLDCUP!BD60</f>
        <v>Scotland</v>
      </c>
      <c r="D243" s="9" t="str">
        <f ca="1">+WORLDCUP!BD64</f>
        <v>Egypt</v>
      </c>
      <c r="E243" s="9" t="str">
        <f ca="1">+WORLDCUP!BD66</f>
        <v>Norway</v>
      </c>
      <c r="F243" s="9" t="str">
        <f ca="1">+WORLDCUP!BD61</f>
        <v>Australia</v>
      </c>
      <c r="G243" s="9" t="str">
        <f ca="1">+WORLDCUP!BD58</f>
        <v>South Korea</v>
      </c>
      <c r="H243" s="9" t="str">
        <f ca="1">+WORLDCUP!BD63</f>
        <v>Tunisia</v>
      </c>
      <c r="I243" s="9" t="str">
        <f ca="1">+WORLDCUP!BD69</f>
        <v>Croatia</v>
      </c>
      <c r="J243" s="9" t="str">
        <f ca="1">+WORLDCUP!BD68</f>
        <v>DR Congo</v>
      </c>
      <c r="N243" s="16" t="s">
        <v>1034</v>
      </c>
      <c r="O243" s="16">
        <v>242</v>
      </c>
      <c r="P243" s="16" t="s">
        <v>95</v>
      </c>
      <c r="Q243" s="16" t="s">
        <v>113</v>
      </c>
      <c r="R243" s="16" t="s">
        <v>122</v>
      </c>
      <c r="S243" s="16" t="s">
        <v>100</v>
      </c>
      <c r="T243" s="16" t="s">
        <v>86</v>
      </c>
      <c r="U243" s="16" t="s">
        <v>109</v>
      </c>
      <c r="V243" s="16" t="s">
        <v>136</v>
      </c>
      <c r="W243" s="16" t="s">
        <v>131</v>
      </c>
    </row>
    <row r="244" spans="1:23">
      <c r="A244" s="9" t="s">
        <v>1035</v>
      </c>
      <c r="B244" s="9">
        <f ca="1">+IF(A244=WORLDCUP!$BI$112,1,0)</f>
        <v>0</v>
      </c>
      <c r="C244" s="9" t="str">
        <f ca="1">+WORLDCUP!BD60</f>
        <v>Scotland</v>
      </c>
      <c r="D244" s="9" t="str">
        <f ca="1">+WORLDCUP!BD64</f>
        <v>Egypt</v>
      </c>
      <c r="E244" s="9" t="str">
        <f ca="1">+WORLDCUP!BD67</f>
        <v>Algeria</v>
      </c>
      <c r="F244" s="9" t="str">
        <f ca="1">+WORLDCUP!BD61</f>
        <v>Australia</v>
      </c>
      <c r="G244" s="9" t="str">
        <f ca="1">+WORLDCUP!BD58</f>
        <v>South Korea</v>
      </c>
      <c r="H244" s="9" t="str">
        <f ca="1">+WORLDCUP!BD63</f>
        <v>Tunisia</v>
      </c>
      <c r="I244" s="9" t="str">
        <f ca="1">+WORLDCUP!BD69</f>
        <v>Croatia</v>
      </c>
      <c r="J244" s="9" t="str">
        <f ca="1">+WORLDCUP!BD66</f>
        <v>Norway</v>
      </c>
      <c r="N244" s="16" t="s">
        <v>1035</v>
      </c>
      <c r="O244" s="16">
        <v>243</v>
      </c>
      <c r="P244" s="16" t="s">
        <v>95</v>
      </c>
      <c r="Q244" s="16" t="s">
        <v>113</v>
      </c>
      <c r="R244" s="16" t="s">
        <v>127</v>
      </c>
      <c r="S244" s="16" t="s">
        <v>100</v>
      </c>
      <c r="T244" s="16" t="s">
        <v>86</v>
      </c>
      <c r="U244" s="16" t="s">
        <v>109</v>
      </c>
      <c r="V244" s="16" t="s">
        <v>136</v>
      </c>
      <c r="W244" s="16" t="s">
        <v>122</v>
      </c>
    </row>
    <row r="245" spans="1:23">
      <c r="A245" s="9" t="s">
        <v>1036</v>
      </c>
      <c r="B245" s="9">
        <f ca="1">+IF(A245=WORLDCUP!$BI$112,1,0)</f>
        <v>0</v>
      </c>
      <c r="C245" s="9" t="str">
        <f ca="1">+WORLDCUP!BD60</f>
        <v>Scotland</v>
      </c>
      <c r="D245" s="9" t="str">
        <f ca="1">+WORLDCUP!BD64</f>
        <v>Egypt</v>
      </c>
      <c r="E245" s="9" t="str">
        <f ca="1">+WORLDCUP!BD67</f>
        <v>Algeria</v>
      </c>
      <c r="F245" s="9" t="str">
        <f ca="1">+WORLDCUP!BD61</f>
        <v>Australia</v>
      </c>
      <c r="G245" s="9" t="str">
        <f ca="1">+WORLDCUP!BD58</f>
        <v>South Korea</v>
      </c>
      <c r="H245" s="9" t="str">
        <f ca="1">+WORLDCUP!BD63</f>
        <v>Tunisia</v>
      </c>
      <c r="I245" s="9" t="str">
        <f ca="1">+WORLDCUP!BD66</f>
        <v>Norway</v>
      </c>
      <c r="J245" s="9" t="str">
        <f ca="1">+WORLDCUP!BD68</f>
        <v>DR Congo</v>
      </c>
      <c r="N245" s="16" t="s">
        <v>1036</v>
      </c>
      <c r="O245" s="16">
        <v>244</v>
      </c>
      <c r="P245" s="16" t="s">
        <v>95</v>
      </c>
      <c r="Q245" s="16" t="s">
        <v>113</v>
      </c>
      <c r="R245" s="16" t="s">
        <v>127</v>
      </c>
      <c r="S245" s="16" t="s">
        <v>100</v>
      </c>
      <c r="T245" s="16" t="s">
        <v>86</v>
      </c>
      <c r="U245" s="16" t="s">
        <v>109</v>
      </c>
      <c r="V245" s="16" t="s">
        <v>122</v>
      </c>
      <c r="W245" s="16" t="s">
        <v>131</v>
      </c>
    </row>
    <row r="246" spans="1:23">
      <c r="A246" s="9" t="s">
        <v>1037</v>
      </c>
      <c r="B246" s="9">
        <f ca="1">+IF(A246=WORLDCUP!$BI$112,1,0)</f>
        <v>0</v>
      </c>
      <c r="C246" s="9" t="str">
        <f ca="1">+WORLDCUP!BD65</f>
        <v>Saudi Arabia</v>
      </c>
      <c r="D246" s="9" t="str">
        <f ca="1">+WORLDCUP!BD64</f>
        <v>Egypt</v>
      </c>
      <c r="E246" s="9" t="str">
        <f ca="1">+WORLDCUP!BD63</f>
        <v>Tunisia</v>
      </c>
      <c r="F246" s="9" t="str">
        <f ca="1">+WORLDCUP!BD60</f>
        <v>Scotland</v>
      </c>
      <c r="G246" s="9" t="str">
        <f ca="1">+WORLDCUP!BD58</f>
        <v>South Korea</v>
      </c>
      <c r="H246" s="9" t="str">
        <f ca="1">+WORLDCUP!BD61</f>
        <v>Australia</v>
      </c>
      <c r="I246" s="9" t="str">
        <f ca="1">+WORLDCUP!BD69</f>
        <v>Croatia</v>
      </c>
      <c r="J246" s="9" t="str">
        <f ca="1">+WORLDCUP!BD68</f>
        <v>DR Congo</v>
      </c>
      <c r="N246" s="16" t="s">
        <v>1037</v>
      </c>
      <c r="O246" s="16">
        <v>245</v>
      </c>
      <c r="P246" s="16" t="s">
        <v>118</v>
      </c>
      <c r="Q246" s="16" t="s">
        <v>113</v>
      </c>
      <c r="R246" s="16" t="s">
        <v>109</v>
      </c>
      <c r="S246" s="16" t="s">
        <v>95</v>
      </c>
      <c r="T246" s="16" t="s">
        <v>86</v>
      </c>
      <c r="U246" s="16" t="s">
        <v>100</v>
      </c>
      <c r="V246" s="16" t="s">
        <v>136</v>
      </c>
      <c r="W246" s="16" t="s">
        <v>131</v>
      </c>
    </row>
    <row r="247" spans="1:23">
      <c r="A247" s="9" t="s">
        <v>1038</v>
      </c>
      <c r="B247" s="9">
        <f ca="1">+IF(A247=WORLDCUP!$BI$112,1,0)</f>
        <v>0</v>
      </c>
      <c r="C247" s="9" t="str">
        <f ca="1">+WORLDCUP!BD60</f>
        <v>Scotland</v>
      </c>
      <c r="D247" s="9" t="str">
        <f ca="1">+WORLDCUP!BD64</f>
        <v>Egypt</v>
      </c>
      <c r="E247" s="9" t="str">
        <f ca="1">+WORLDCUP!BD67</f>
        <v>Algeria</v>
      </c>
      <c r="F247" s="9" t="str">
        <f ca="1">+WORLDCUP!BD61</f>
        <v>Australia</v>
      </c>
      <c r="G247" s="9" t="str">
        <f ca="1">+WORLDCUP!BD58</f>
        <v>South Korea</v>
      </c>
      <c r="H247" s="9" t="str">
        <f ca="1">+WORLDCUP!BD63</f>
        <v>Tunisia</v>
      </c>
      <c r="I247" s="9" t="str">
        <f ca="1">+WORLDCUP!BD69</f>
        <v>Croatia</v>
      </c>
      <c r="J247" s="9" t="str">
        <f ca="1">+WORLDCUP!BD65</f>
        <v>Saudi Arabia</v>
      </c>
      <c r="N247" s="16" t="s">
        <v>1038</v>
      </c>
      <c r="O247" s="16">
        <v>246</v>
      </c>
      <c r="P247" s="16" t="s">
        <v>95</v>
      </c>
      <c r="Q247" s="16" t="s">
        <v>113</v>
      </c>
      <c r="R247" s="16" t="s">
        <v>127</v>
      </c>
      <c r="S247" s="16" t="s">
        <v>100</v>
      </c>
      <c r="T247" s="16" t="s">
        <v>86</v>
      </c>
      <c r="U247" s="16" t="s">
        <v>109</v>
      </c>
      <c r="V247" s="16" t="s">
        <v>136</v>
      </c>
      <c r="W247" s="16" t="s">
        <v>118</v>
      </c>
    </row>
    <row r="248" spans="1:23">
      <c r="A248" s="9" t="s">
        <v>1039</v>
      </c>
      <c r="B248" s="9">
        <f ca="1">+IF(A248=WORLDCUP!$BI$112,1,0)</f>
        <v>0</v>
      </c>
      <c r="C248" s="9" t="str">
        <f ca="1">+WORLDCUP!BD65</f>
        <v>Saudi Arabia</v>
      </c>
      <c r="D248" s="9" t="str">
        <f ca="1">+WORLDCUP!BD64</f>
        <v>Egypt</v>
      </c>
      <c r="E248" s="9" t="str">
        <f ca="1">+WORLDCUP!BD67</f>
        <v>Algeria</v>
      </c>
      <c r="F248" s="9" t="str">
        <f ca="1">+WORLDCUP!BD60</f>
        <v>Scotland</v>
      </c>
      <c r="G248" s="9" t="str">
        <f ca="1">+WORLDCUP!BD58</f>
        <v>South Korea</v>
      </c>
      <c r="H248" s="9" t="str">
        <f ca="1">+WORLDCUP!BD63</f>
        <v>Tunisia</v>
      </c>
      <c r="I248" s="9" t="str">
        <f ca="1">+WORLDCUP!BD61</f>
        <v>Australia</v>
      </c>
      <c r="J248" s="9" t="str">
        <f ca="1">+WORLDCUP!BD68</f>
        <v>DR Congo</v>
      </c>
      <c r="N248" s="16" t="s">
        <v>1039</v>
      </c>
      <c r="O248" s="16">
        <v>247</v>
      </c>
      <c r="P248" s="16" t="s">
        <v>118</v>
      </c>
      <c r="Q248" s="16" t="s">
        <v>113</v>
      </c>
      <c r="R248" s="16" t="s">
        <v>127</v>
      </c>
      <c r="S248" s="16" t="s">
        <v>95</v>
      </c>
      <c r="T248" s="16" t="s">
        <v>86</v>
      </c>
      <c r="U248" s="16" t="s">
        <v>109</v>
      </c>
      <c r="V248" s="16" t="s">
        <v>100</v>
      </c>
      <c r="W248" s="16" t="s">
        <v>131</v>
      </c>
    </row>
    <row r="249" spans="1:23">
      <c r="A249" s="9" t="s">
        <v>1040</v>
      </c>
      <c r="B249" s="9">
        <f ca="1">+IF(A249=WORLDCUP!$BI$112,1,0)</f>
        <v>0</v>
      </c>
      <c r="C249" s="9" t="str">
        <f ca="1">+WORLDCUP!BD65</f>
        <v>Saudi Arabia</v>
      </c>
      <c r="D249" s="9" t="str">
        <f ca="1">+WORLDCUP!BD64</f>
        <v>Egypt</v>
      </c>
      <c r="E249" s="9" t="str">
        <f ca="1">+WORLDCUP!BD63</f>
        <v>Tunisia</v>
      </c>
      <c r="F249" s="9" t="str">
        <f ca="1">+WORLDCUP!BD60</f>
        <v>Scotland</v>
      </c>
      <c r="G249" s="9" t="str">
        <f ca="1">+WORLDCUP!BD58</f>
        <v>South Korea</v>
      </c>
      <c r="H249" s="9" t="str">
        <f ca="1">+WORLDCUP!BD61</f>
        <v>Australia</v>
      </c>
      <c r="I249" s="9" t="str">
        <f ca="1">+WORLDCUP!BD69</f>
        <v>Croatia</v>
      </c>
      <c r="J249" s="9" t="str">
        <f ca="1">+WORLDCUP!BD66</f>
        <v>Norway</v>
      </c>
      <c r="N249" s="16" t="s">
        <v>1040</v>
      </c>
      <c r="O249" s="16">
        <v>248</v>
      </c>
      <c r="P249" s="16" t="s">
        <v>118</v>
      </c>
      <c r="Q249" s="16" t="s">
        <v>113</v>
      </c>
      <c r="R249" s="16" t="s">
        <v>109</v>
      </c>
      <c r="S249" s="16" t="s">
        <v>95</v>
      </c>
      <c r="T249" s="16" t="s">
        <v>86</v>
      </c>
      <c r="U249" s="16" t="s">
        <v>100</v>
      </c>
      <c r="V249" s="16" t="s">
        <v>136</v>
      </c>
      <c r="W249" s="16" t="s">
        <v>122</v>
      </c>
    </row>
    <row r="250" spans="1:23">
      <c r="A250" s="9" t="s">
        <v>1041</v>
      </c>
      <c r="B250" s="9">
        <f ca="1">+IF(A250=WORLDCUP!$BI$112,1,0)</f>
        <v>0</v>
      </c>
      <c r="C250" s="9" t="str">
        <f ca="1">+WORLDCUP!BD65</f>
        <v>Saudi Arabia</v>
      </c>
      <c r="D250" s="9" t="str">
        <f ca="1">+WORLDCUP!BD64</f>
        <v>Egypt</v>
      </c>
      <c r="E250" s="9" t="str">
        <f ca="1">+WORLDCUP!BD63</f>
        <v>Tunisia</v>
      </c>
      <c r="F250" s="9" t="str">
        <f ca="1">+WORLDCUP!BD60</f>
        <v>Scotland</v>
      </c>
      <c r="G250" s="9" t="str">
        <f ca="1">+WORLDCUP!BD58</f>
        <v>South Korea</v>
      </c>
      <c r="H250" s="9" t="str">
        <f ca="1">+WORLDCUP!BD61</f>
        <v>Australia</v>
      </c>
      <c r="I250" s="9" t="str">
        <f ca="1">+WORLDCUP!BD66</f>
        <v>Norway</v>
      </c>
      <c r="J250" s="9" t="str">
        <f ca="1">+WORLDCUP!BD68</f>
        <v>DR Congo</v>
      </c>
      <c r="N250" s="16" t="s">
        <v>1041</v>
      </c>
      <c r="O250" s="16">
        <v>249</v>
      </c>
      <c r="P250" s="16" t="s">
        <v>118</v>
      </c>
      <c r="Q250" s="16" t="s">
        <v>113</v>
      </c>
      <c r="R250" s="16" t="s">
        <v>109</v>
      </c>
      <c r="S250" s="16" t="s">
        <v>95</v>
      </c>
      <c r="T250" s="16" t="s">
        <v>86</v>
      </c>
      <c r="U250" s="16" t="s">
        <v>100</v>
      </c>
      <c r="V250" s="16" t="s">
        <v>122</v>
      </c>
      <c r="W250" s="16" t="s">
        <v>131</v>
      </c>
    </row>
    <row r="251" spans="1:23">
      <c r="A251" s="9" t="s">
        <v>1042</v>
      </c>
      <c r="B251" s="9">
        <f ca="1">+IF(A251=WORLDCUP!$BI$112,1,0)</f>
        <v>0</v>
      </c>
      <c r="C251" s="9" t="str">
        <f ca="1">+WORLDCUP!BD65</f>
        <v>Saudi Arabia</v>
      </c>
      <c r="D251" s="9" t="str">
        <f ca="1">+WORLDCUP!BD64</f>
        <v>Egypt</v>
      </c>
      <c r="E251" s="9" t="str">
        <f ca="1">+WORLDCUP!BD67</f>
        <v>Algeria</v>
      </c>
      <c r="F251" s="9" t="str">
        <f ca="1">+WORLDCUP!BD60</f>
        <v>Scotland</v>
      </c>
      <c r="G251" s="9" t="str">
        <f ca="1">+WORLDCUP!BD58</f>
        <v>South Korea</v>
      </c>
      <c r="H251" s="9" t="str">
        <f ca="1">+WORLDCUP!BD63</f>
        <v>Tunisia</v>
      </c>
      <c r="I251" s="9" t="str">
        <f ca="1">+WORLDCUP!BD61</f>
        <v>Australia</v>
      </c>
      <c r="J251" s="9" t="str">
        <f ca="1">+WORLDCUP!BD66</f>
        <v>Norway</v>
      </c>
      <c r="N251" s="16" t="s">
        <v>1042</v>
      </c>
      <c r="O251" s="16">
        <v>250</v>
      </c>
      <c r="P251" s="16" t="s">
        <v>118</v>
      </c>
      <c r="Q251" s="16" t="s">
        <v>113</v>
      </c>
      <c r="R251" s="16" t="s">
        <v>127</v>
      </c>
      <c r="S251" s="16" t="s">
        <v>95</v>
      </c>
      <c r="T251" s="16" t="s">
        <v>86</v>
      </c>
      <c r="U251" s="16" t="s">
        <v>109</v>
      </c>
      <c r="V251" s="16" t="s">
        <v>100</v>
      </c>
      <c r="W251" s="16" t="s">
        <v>122</v>
      </c>
    </row>
    <row r="252" spans="1:23">
      <c r="A252" s="9" t="s">
        <v>1043</v>
      </c>
      <c r="B252" s="9">
        <f ca="1">+IF(A252=WORLDCUP!$BI$112,1,0)</f>
        <v>0</v>
      </c>
      <c r="C252" s="9" t="str">
        <f ca="1">+WORLDCUP!BD62</f>
        <v>Ivory Coast</v>
      </c>
      <c r="D252" s="9" t="str">
        <f ca="1">+WORLDCUP!BD67</f>
        <v>Algeria</v>
      </c>
      <c r="E252" s="9" t="str">
        <f ca="1">+WORLDCUP!BD66</f>
        <v>Norway</v>
      </c>
      <c r="F252" s="9" t="str">
        <f ca="1">+WORLDCUP!BD60</f>
        <v>Scotland</v>
      </c>
      <c r="G252" s="9" t="str">
        <f ca="1">+WORLDCUP!BD58</f>
        <v>South Korea</v>
      </c>
      <c r="H252" s="9" t="str">
        <f ca="1">+WORLDCUP!BD61</f>
        <v>Australia</v>
      </c>
      <c r="I252" s="9" t="str">
        <f ca="1">+WORLDCUP!BD69</f>
        <v>Croatia</v>
      </c>
      <c r="J252" s="9" t="str">
        <f ca="1">+WORLDCUP!BD68</f>
        <v>DR Congo</v>
      </c>
      <c r="N252" s="16" t="s">
        <v>1043</v>
      </c>
      <c r="O252" s="16">
        <v>251</v>
      </c>
      <c r="P252" s="16" t="s">
        <v>104</v>
      </c>
      <c r="Q252" s="16" t="s">
        <v>127</v>
      </c>
      <c r="R252" s="16" t="s">
        <v>122</v>
      </c>
      <c r="S252" s="16" t="s">
        <v>95</v>
      </c>
      <c r="T252" s="16" t="s">
        <v>86</v>
      </c>
      <c r="U252" s="16" t="s">
        <v>100</v>
      </c>
      <c r="V252" s="16" t="s">
        <v>136</v>
      </c>
      <c r="W252" s="16" t="s">
        <v>131</v>
      </c>
    </row>
    <row r="253" spans="1:23">
      <c r="A253" s="9" t="s">
        <v>1044</v>
      </c>
      <c r="B253" s="9">
        <f ca="1">+IF(A253=WORLDCUP!$BI$112,1,0)</f>
        <v>0</v>
      </c>
      <c r="C253" s="9" t="str">
        <f ca="1">+WORLDCUP!BD65</f>
        <v>Saudi Arabia</v>
      </c>
      <c r="D253" s="9" t="str">
        <f ca="1">+WORLDCUP!BD67</f>
        <v>Algeria</v>
      </c>
      <c r="E253" s="9" t="str">
        <f ca="1">+WORLDCUP!BD62</f>
        <v>Ivory Coast</v>
      </c>
      <c r="F253" s="9" t="str">
        <f ca="1">+WORLDCUP!BD60</f>
        <v>Scotland</v>
      </c>
      <c r="G253" s="9" t="str">
        <f ca="1">+WORLDCUP!BD58</f>
        <v>South Korea</v>
      </c>
      <c r="H253" s="9" t="str">
        <f ca="1">+WORLDCUP!BD61</f>
        <v>Australia</v>
      </c>
      <c r="I253" s="9" t="str">
        <f ca="1">+WORLDCUP!BD69</f>
        <v>Croatia</v>
      </c>
      <c r="J253" s="9" t="str">
        <f ca="1">+WORLDCUP!BD68</f>
        <v>DR Congo</v>
      </c>
      <c r="N253" s="16" t="s">
        <v>1044</v>
      </c>
      <c r="O253" s="16">
        <v>252</v>
      </c>
      <c r="P253" s="16" t="s">
        <v>118</v>
      </c>
      <c r="Q253" s="16" t="s">
        <v>127</v>
      </c>
      <c r="R253" s="16" t="s">
        <v>104</v>
      </c>
      <c r="S253" s="16" t="s">
        <v>95</v>
      </c>
      <c r="T253" s="16" t="s">
        <v>86</v>
      </c>
      <c r="U253" s="16" t="s">
        <v>100</v>
      </c>
      <c r="V253" s="16" t="s">
        <v>136</v>
      </c>
      <c r="W253" s="16" t="s">
        <v>131</v>
      </c>
    </row>
    <row r="254" spans="1:23">
      <c r="A254" s="9" t="s">
        <v>1045</v>
      </c>
      <c r="B254" s="9">
        <f ca="1">+IF(A254=WORLDCUP!$BI$112,1,0)</f>
        <v>0</v>
      </c>
      <c r="C254" s="9" t="str">
        <f ca="1">+WORLDCUP!BD65</f>
        <v>Saudi Arabia</v>
      </c>
      <c r="D254" s="9" t="str">
        <f ca="1">+WORLDCUP!BD62</f>
        <v>Ivory Coast</v>
      </c>
      <c r="E254" s="9" t="str">
        <f ca="1">+WORLDCUP!BD66</f>
        <v>Norway</v>
      </c>
      <c r="F254" s="9" t="str">
        <f ca="1">+WORLDCUP!BD60</f>
        <v>Scotland</v>
      </c>
      <c r="G254" s="9" t="str">
        <f ca="1">+WORLDCUP!BD58</f>
        <v>South Korea</v>
      </c>
      <c r="H254" s="9" t="str">
        <f ca="1">+WORLDCUP!BD61</f>
        <v>Australia</v>
      </c>
      <c r="I254" s="9" t="str">
        <f ca="1">+WORLDCUP!BD69</f>
        <v>Croatia</v>
      </c>
      <c r="J254" s="9" t="str">
        <f ca="1">+WORLDCUP!BD68</f>
        <v>DR Congo</v>
      </c>
      <c r="N254" s="16" t="s">
        <v>1045</v>
      </c>
      <c r="O254" s="16">
        <v>253</v>
      </c>
      <c r="P254" s="16" t="s">
        <v>118</v>
      </c>
      <c r="Q254" s="16" t="s">
        <v>104</v>
      </c>
      <c r="R254" s="16" t="s">
        <v>122</v>
      </c>
      <c r="S254" s="16" t="s">
        <v>95</v>
      </c>
      <c r="T254" s="16" t="s">
        <v>86</v>
      </c>
      <c r="U254" s="16" t="s">
        <v>100</v>
      </c>
      <c r="V254" s="16" t="s">
        <v>136</v>
      </c>
      <c r="W254" s="16" t="s">
        <v>131</v>
      </c>
    </row>
    <row r="255" spans="1:23">
      <c r="A255" s="9" t="s">
        <v>1046</v>
      </c>
      <c r="B255" s="9">
        <f ca="1">+IF(A255=WORLDCUP!$BI$112,1,0)</f>
        <v>0</v>
      </c>
      <c r="C255" s="9" t="str">
        <f ca="1">+WORLDCUP!BD65</f>
        <v>Saudi Arabia</v>
      </c>
      <c r="D255" s="9" t="str">
        <f ca="1">+WORLDCUP!BD67</f>
        <v>Algeria</v>
      </c>
      <c r="E255" s="9" t="str">
        <f ca="1">+WORLDCUP!BD62</f>
        <v>Ivory Coast</v>
      </c>
      <c r="F255" s="9" t="str">
        <f ca="1">+WORLDCUP!BD60</f>
        <v>Scotland</v>
      </c>
      <c r="G255" s="9" t="str">
        <f ca="1">+WORLDCUP!BD58</f>
        <v>South Korea</v>
      </c>
      <c r="H255" s="9" t="str">
        <f ca="1">+WORLDCUP!BD61</f>
        <v>Australia</v>
      </c>
      <c r="I255" s="9" t="str">
        <f ca="1">+WORLDCUP!BD69</f>
        <v>Croatia</v>
      </c>
      <c r="J255" s="9" t="str">
        <f ca="1">+WORLDCUP!BD66</f>
        <v>Norway</v>
      </c>
      <c r="N255" s="16" t="s">
        <v>1046</v>
      </c>
      <c r="O255" s="16">
        <v>254</v>
      </c>
      <c r="P255" s="16" t="s">
        <v>118</v>
      </c>
      <c r="Q255" s="16" t="s">
        <v>127</v>
      </c>
      <c r="R255" s="16" t="s">
        <v>104</v>
      </c>
      <c r="S255" s="16" t="s">
        <v>95</v>
      </c>
      <c r="T255" s="16" t="s">
        <v>86</v>
      </c>
      <c r="U255" s="16" t="s">
        <v>100</v>
      </c>
      <c r="V255" s="16" t="s">
        <v>136</v>
      </c>
      <c r="W255" s="16" t="s">
        <v>122</v>
      </c>
    </row>
    <row r="256" spans="1:23">
      <c r="A256" s="9" t="s">
        <v>1047</v>
      </c>
      <c r="B256" s="9">
        <f ca="1">+IF(A256=WORLDCUP!$BI$112,1,0)</f>
        <v>0</v>
      </c>
      <c r="C256" s="9" t="str">
        <f ca="1">+WORLDCUP!BD65</f>
        <v>Saudi Arabia</v>
      </c>
      <c r="D256" s="9" t="str">
        <f ca="1">+WORLDCUP!BD67</f>
        <v>Algeria</v>
      </c>
      <c r="E256" s="9" t="str">
        <f ca="1">+WORLDCUP!BD62</f>
        <v>Ivory Coast</v>
      </c>
      <c r="F256" s="9" t="str">
        <f ca="1">+WORLDCUP!BD60</f>
        <v>Scotland</v>
      </c>
      <c r="G256" s="9" t="str">
        <f ca="1">+WORLDCUP!BD58</f>
        <v>South Korea</v>
      </c>
      <c r="H256" s="9" t="str">
        <f ca="1">+WORLDCUP!BD61</f>
        <v>Australia</v>
      </c>
      <c r="I256" s="9" t="str">
        <f ca="1">+WORLDCUP!BD66</f>
        <v>Norway</v>
      </c>
      <c r="J256" s="9" t="str">
        <f ca="1">+WORLDCUP!BD68</f>
        <v>DR Congo</v>
      </c>
      <c r="N256" s="16" t="s">
        <v>1047</v>
      </c>
      <c r="O256" s="16">
        <v>255</v>
      </c>
      <c r="P256" s="16" t="s">
        <v>118</v>
      </c>
      <c r="Q256" s="16" t="s">
        <v>127</v>
      </c>
      <c r="R256" s="16" t="s">
        <v>104</v>
      </c>
      <c r="S256" s="16" t="s">
        <v>95</v>
      </c>
      <c r="T256" s="16" t="s">
        <v>86</v>
      </c>
      <c r="U256" s="16" t="s">
        <v>100</v>
      </c>
      <c r="V256" s="16" t="s">
        <v>122</v>
      </c>
      <c r="W256" s="16" t="s">
        <v>131</v>
      </c>
    </row>
    <row r="257" spans="1:23">
      <c r="A257" s="9" t="s">
        <v>1048</v>
      </c>
      <c r="B257" s="9">
        <f ca="1">+IF(A257=WORLDCUP!$BI$112,1,0)</f>
        <v>0</v>
      </c>
      <c r="C257" s="9" t="str">
        <f ca="1">+WORLDCUP!BD62</f>
        <v>Ivory Coast</v>
      </c>
      <c r="D257" s="9" t="str">
        <f ca="1">+WORLDCUP!BD64</f>
        <v>Egypt</v>
      </c>
      <c r="E257" s="9" t="str">
        <f ca="1">+WORLDCUP!BD67</f>
        <v>Algeria</v>
      </c>
      <c r="F257" s="9" t="str">
        <f ca="1">+WORLDCUP!BD60</f>
        <v>Scotland</v>
      </c>
      <c r="G257" s="9" t="str">
        <f ca="1">+WORLDCUP!BD58</f>
        <v>South Korea</v>
      </c>
      <c r="H257" s="9" t="str">
        <f ca="1">+WORLDCUP!BD61</f>
        <v>Australia</v>
      </c>
      <c r="I257" s="9" t="str">
        <f ca="1">+WORLDCUP!BD69</f>
        <v>Croatia</v>
      </c>
      <c r="J257" s="9" t="str">
        <f ca="1">+WORLDCUP!BD68</f>
        <v>DR Congo</v>
      </c>
      <c r="N257" s="16" t="s">
        <v>1048</v>
      </c>
      <c r="O257" s="16">
        <v>256</v>
      </c>
      <c r="P257" s="16" t="s">
        <v>104</v>
      </c>
      <c r="Q257" s="16" t="s">
        <v>113</v>
      </c>
      <c r="R257" s="16" t="s">
        <v>127</v>
      </c>
      <c r="S257" s="16" t="s">
        <v>95</v>
      </c>
      <c r="T257" s="16" t="s">
        <v>86</v>
      </c>
      <c r="U257" s="16" t="s">
        <v>100</v>
      </c>
      <c r="V257" s="16" t="s">
        <v>136</v>
      </c>
      <c r="W257" s="16" t="s">
        <v>131</v>
      </c>
    </row>
    <row r="258" spans="1:23">
      <c r="A258" s="9" t="s">
        <v>1049</v>
      </c>
      <c r="B258" s="9">
        <f ca="1">+IF(A258=WORLDCUP!$BI$112,1,0)</f>
        <v>0</v>
      </c>
      <c r="C258" s="9" t="str">
        <f ca="1">+WORLDCUP!BD62</f>
        <v>Ivory Coast</v>
      </c>
      <c r="D258" s="9" t="str">
        <f ca="1">+WORLDCUP!BD64</f>
        <v>Egypt</v>
      </c>
      <c r="E258" s="9" t="str">
        <f ca="1">+WORLDCUP!BD66</f>
        <v>Norway</v>
      </c>
      <c r="F258" s="9" t="str">
        <f ca="1">+WORLDCUP!BD60</f>
        <v>Scotland</v>
      </c>
      <c r="G258" s="9" t="str">
        <f ca="1">+WORLDCUP!BD58</f>
        <v>South Korea</v>
      </c>
      <c r="H258" s="9" t="str">
        <f ca="1">+WORLDCUP!BD61</f>
        <v>Australia</v>
      </c>
      <c r="I258" s="9" t="str">
        <f ca="1">+WORLDCUP!BD69</f>
        <v>Croatia</v>
      </c>
      <c r="J258" s="9" t="str">
        <f ca="1">+WORLDCUP!BD68</f>
        <v>DR Congo</v>
      </c>
      <c r="N258" s="16" t="s">
        <v>1049</v>
      </c>
      <c r="O258" s="16">
        <v>257</v>
      </c>
      <c r="P258" s="16" t="s">
        <v>104</v>
      </c>
      <c r="Q258" s="16" t="s">
        <v>113</v>
      </c>
      <c r="R258" s="16" t="s">
        <v>122</v>
      </c>
      <c r="S258" s="16" t="s">
        <v>95</v>
      </c>
      <c r="T258" s="16" t="s">
        <v>86</v>
      </c>
      <c r="U258" s="16" t="s">
        <v>100</v>
      </c>
      <c r="V258" s="16" t="s">
        <v>136</v>
      </c>
      <c r="W258" s="16" t="s">
        <v>131</v>
      </c>
    </row>
    <row r="259" spans="1:23">
      <c r="A259" s="9" t="s">
        <v>1050</v>
      </c>
      <c r="B259" s="9">
        <f ca="1">+IF(A259=WORLDCUP!$BI$112,1,0)</f>
        <v>0</v>
      </c>
      <c r="C259" s="9" t="str">
        <f ca="1">+WORLDCUP!BD62</f>
        <v>Ivory Coast</v>
      </c>
      <c r="D259" s="9" t="str">
        <f ca="1">+WORLDCUP!BD64</f>
        <v>Egypt</v>
      </c>
      <c r="E259" s="9" t="str">
        <f ca="1">+WORLDCUP!BD67</f>
        <v>Algeria</v>
      </c>
      <c r="F259" s="9" t="str">
        <f ca="1">+WORLDCUP!BD60</f>
        <v>Scotland</v>
      </c>
      <c r="G259" s="9" t="str">
        <f ca="1">+WORLDCUP!BD58</f>
        <v>South Korea</v>
      </c>
      <c r="H259" s="9" t="str">
        <f ca="1">+WORLDCUP!BD61</f>
        <v>Australia</v>
      </c>
      <c r="I259" s="9" t="str">
        <f ca="1">+WORLDCUP!BD69</f>
        <v>Croatia</v>
      </c>
      <c r="J259" s="9" t="str">
        <f ca="1">+WORLDCUP!BD66</f>
        <v>Norway</v>
      </c>
      <c r="N259" s="16" t="s">
        <v>1050</v>
      </c>
      <c r="O259" s="16">
        <v>258</v>
      </c>
      <c r="P259" s="16" t="s">
        <v>104</v>
      </c>
      <c r="Q259" s="16" t="s">
        <v>113</v>
      </c>
      <c r="R259" s="16" t="s">
        <v>127</v>
      </c>
      <c r="S259" s="16" t="s">
        <v>95</v>
      </c>
      <c r="T259" s="16" t="s">
        <v>86</v>
      </c>
      <c r="U259" s="16" t="s">
        <v>100</v>
      </c>
      <c r="V259" s="16" t="s">
        <v>136</v>
      </c>
      <c r="W259" s="16" t="s">
        <v>122</v>
      </c>
    </row>
    <row r="260" spans="1:23">
      <c r="A260" s="9" t="s">
        <v>1051</v>
      </c>
      <c r="B260" s="9">
        <f ca="1">+IF(A260=WORLDCUP!$BI$112,1,0)</f>
        <v>0</v>
      </c>
      <c r="C260" s="9" t="str">
        <f ca="1">+WORLDCUP!BD62</f>
        <v>Ivory Coast</v>
      </c>
      <c r="D260" s="9" t="str">
        <f ca="1">+WORLDCUP!BD64</f>
        <v>Egypt</v>
      </c>
      <c r="E260" s="9" t="str">
        <f ca="1">+WORLDCUP!BD67</f>
        <v>Algeria</v>
      </c>
      <c r="F260" s="9" t="str">
        <f ca="1">+WORLDCUP!BD60</f>
        <v>Scotland</v>
      </c>
      <c r="G260" s="9" t="str">
        <f ca="1">+WORLDCUP!BD58</f>
        <v>South Korea</v>
      </c>
      <c r="H260" s="9" t="str">
        <f ca="1">+WORLDCUP!BD61</f>
        <v>Australia</v>
      </c>
      <c r="I260" s="9" t="str">
        <f ca="1">+WORLDCUP!BD66</f>
        <v>Norway</v>
      </c>
      <c r="J260" s="9" t="str">
        <f ca="1">+WORLDCUP!BD68</f>
        <v>DR Congo</v>
      </c>
      <c r="N260" s="16" t="s">
        <v>1051</v>
      </c>
      <c r="O260" s="16">
        <v>259</v>
      </c>
      <c r="P260" s="16" t="s">
        <v>104</v>
      </c>
      <c r="Q260" s="16" t="s">
        <v>113</v>
      </c>
      <c r="R260" s="16" t="s">
        <v>127</v>
      </c>
      <c r="S260" s="16" t="s">
        <v>95</v>
      </c>
      <c r="T260" s="16" t="s">
        <v>86</v>
      </c>
      <c r="U260" s="16" t="s">
        <v>100</v>
      </c>
      <c r="V260" s="16" t="s">
        <v>122</v>
      </c>
      <c r="W260" s="16" t="s">
        <v>131</v>
      </c>
    </row>
    <row r="261" spans="1:23">
      <c r="A261" s="9" t="s">
        <v>1052</v>
      </c>
      <c r="B261" s="9">
        <f ca="1">+IF(A261=WORLDCUP!$BI$112,1,0)</f>
        <v>0</v>
      </c>
      <c r="C261" s="9" t="str">
        <f ca="1">+WORLDCUP!BD65</f>
        <v>Saudi Arabia</v>
      </c>
      <c r="D261" s="9" t="str">
        <f ca="1">+WORLDCUP!BD64</f>
        <v>Egypt</v>
      </c>
      <c r="E261" s="9" t="str">
        <f ca="1">+WORLDCUP!BD62</f>
        <v>Ivory Coast</v>
      </c>
      <c r="F261" s="9" t="str">
        <f ca="1">+WORLDCUP!BD60</f>
        <v>Scotland</v>
      </c>
      <c r="G261" s="9" t="str">
        <f ca="1">+WORLDCUP!BD58</f>
        <v>South Korea</v>
      </c>
      <c r="H261" s="9" t="str">
        <f ca="1">+WORLDCUP!BD61</f>
        <v>Australia</v>
      </c>
      <c r="I261" s="9" t="str">
        <f ca="1">+WORLDCUP!BD69</f>
        <v>Croatia</v>
      </c>
      <c r="J261" s="9" t="str">
        <f ca="1">+WORLDCUP!BD68</f>
        <v>DR Congo</v>
      </c>
      <c r="N261" s="16" t="s">
        <v>1052</v>
      </c>
      <c r="O261" s="16">
        <v>260</v>
      </c>
      <c r="P261" s="16" t="s">
        <v>118</v>
      </c>
      <c r="Q261" s="16" t="s">
        <v>113</v>
      </c>
      <c r="R261" s="16" t="s">
        <v>104</v>
      </c>
      <c r="S261" s="16" t="s">
        <v>95</v>
      </c>
      <c r="T261" s="16" t="s">
        <v>86</v>
      </c>
      <c r="U261" s="16" t="s">
        <v>100</v>
      </c>
      <c r="V261" s="16" t="s">
        <v>136</v>
      </c>
      <c r="W261" s="16" t="s">
        <v>131</v>
      </c>
    </row>
    <row r="262" spans="1:23">
      <c r="A262" s="9" t="s">
        <v>1053</v>
      </c>
      <c r="B262" s="9">
        <f ca="1">+IF(A262=WORLDCUP!$BI$112,1,0)</f>
        <v>0</v>
      </c>
      <c r="C262" s="9" t="str">
        <f ca="1">+WORLDCUP!BD65</f>
        <v>Saudi Arabia</v>
      </c>
      <c r="D262" s="9" t="str">
        <f ca="1">+WORLDCUP!BD64</f>
        <v>Egypt</v>
      </c>
      <c r="E262" s="9" t="str">
        <f ca="1">+WORLDCUP!BD67</f>
        <v>Algeria</v>
      </c>
      <c r="F262" s="9" t="str">
        <f ca="1">+WORLDCUP!BD60</f>
        <v>Scotland</v>
      </c>
      <c r="G262" s="9" t="str">
        <f ca="1">+WORLDCUP!BD58</f>
        <v>South Korea</v>
      </c>
      <c r="H262" s="9" t="str">
        <f ca="1">+WORLDCUP!BD61</f>
        <v>Australia</v>
      </c>
      <c r="I262" s="9" t="str">
        <f ca="1">+WORLDCUP!BD69</f>
        <v>Croatia</v>
      </c>
      <c r="J262" s="9" t="str">
        <f ca="1">+WORLDCUP!BD62</f>
        <v>Ivory Coast</v>
      </c>
      <c r="N262" s="16" t="s">
        <v>1053</v>
      </c>
      <c r="O262" s="16">
        <v>261</v>
      </c>
      <c r="P262" s="16" t="s">
        <v>118</v>
      </c>
      <c r="Q262" s="16" t="s">
        <v>113</v>
      </c>
      <c r="R262" s="16" t="s">
        <v>127</v>
      </c>
      <c r="S262" s="16" t="s">
        <v>95</v>
      </c>
      <c r="T262" s="16" t="s">
        <v>86</v>
      </c>
      <c r="U262" s="16" t="s">
        <v>100</v>
      </c>
      <c r="V262" s="16" t="s">
        <v>136</v>
      </c>
      <c r="W262" s="16" t="s">
        <v>104</v>
      </c>
    </row>
    <row r="263" spans="1:23">
      <c r="A263" s="9" t="s">
        <v>1054</v>
      </c>
      <c r="B263" s="9">
        <f ca="1">+IF(A263=WORLDCUP!$BI$112,1,0)</f>
        <v>0</v>
      </c>
      <c r="C263" s="9" t="str">
        <f ca="1">+WORLDCUP!BD65</f>
        <v>Saudi Arabia</v>
      </c>
      <c r="D263" s="9" t="str">
        <f ca="1">+WORLDCUP!BD64</f>
        <v>Egypt</v>
      </c>
      <c r="E263" s="9" t="str">
        <f ca="1">+WORLDCUP!BD67</f>
        <v>Algeria</v>
      </c>
      <c r="F263" s="9" t="str">
        <f ca="1">+WORLDCUP!BD60</f>
        <v>Scotland</v>
      </c>
      <c r="G263" s="9" t="str">
        <f ca="1">+WORLDCUP!BD58</f>
        <v>South Korea</v>
      </c>
      <c r="H263" s="9" t="str">
        <f ca="1">+WORLDCUP!BD61</f>
        <v>Australia</v>
      </c>
      <c r="I263" s="9" t="str">
        <f ca="1">+WORLDCUP!BD62</f>
        <v>Ivory Coast</v>
      </c>
      <c r="J263" s="9" t="str">
        <f ca="1">+WORLDCUP!BD68</f>
        <v>DR Congo</v>
      </c>
      <c r="N263" s="16" t="s">
        <v>1054</v>
      </c>
      <c r="O263" s="16">
        <v>262</v>
      </c>
      <c r="P263" s="16" t="s">
        <v>118</v>
      </c>
      <c r="Q263" s="16" t="s">
        <v>113</v>
      </c>
      <c r="R263" s="16" t="s">
        <v>127</v>
      </c>
      <c r="S263" s="16" t="s">
        <v>95</v>
      </c>
      <c r="T263" s="16" t="s">
        <v>86</v>
      </c>
      <c r="U263" s="16" t="s">
        <v>100</v>
      </c>
      <c r="V263" s="16" t="s">
        <v>104</v>
      </c>
      <c r="W263" s="16" t="s">
        <v>131</v>
      </c>
    </row>
    <row r="264" spans="1:23">
      <c r="A264" s="9" t="s">
        <v>1055</v>
      </c>
      <c r="B264" s="9">
        <f ca="1">+IF(A264=WORLDCUP!$BI$112,1,0)</f>
        <v>0</v>
      </c>
      <c r="C264" s="9" t="str">
        <f ca="1">+WORLDCUP!BD65</f>
        <v>Saudi Arabia</v>
      </c>
      <c r="D264" s="9" t="str">
        <f ca="1">+WORLDCUP!BD64</f>
        <v>Egypt</v>
      </c>
      <c r="E264" s="9" t="str">
        <f ca="1">+WORLDCUP!BD62</f>
        <v>Ivory Coast</v>
      </c>
      <c r="F264" s="9" t="str">
        <f ca="1">+WORLDCUP!BD60</f>
        <v>Scotland</v>
      </c>
      <c r="G264" s="9" t="str">
        <f ca="1">+WORLDCUP!BD58</f>
        <v>South Korea</v>
      </c>
      <c r="H264" s="9" t="str">
        <f ca="1">+WORLDCUP!BD61</f>
        <v>Australia</v>
      </c>
      <c r="I264" s="9" t="str">
        <f ca="1">+WORLDCUP!BD69</f>
        <v>Croatia</v>
      </c>
      <c r="J264" s="9" t="str">
        <f ca="1">+WORLDCUP!BD66</f>
        <v>Norway</v>
      </c>
      <c r="N264" s="16" t="s">
        <v>1055</v>
      </c>
      <c r="O264" s="16">
        <v>263</v>
      </c>
      <c r="P264" s="16" t="s">
        <v>118</v>
      </c>
      <c r="Q264" s="16" t="s">
        <v>113</v>
      </c>
      <c r="R264" s="16" t="s">
        <v>104</v>
      </c>
      <c r="S264" s="16" t="s">
        <v>95</v>
      </c>
      <c r="T264" s="16" t="s">
        <v>86</v>
      </c>
      <c r="U264" s="16" t="s">
        <v>100</v>
      </c>
      <c r="V264" s="16" t="s">
        <v>136</v>
      </c>
      <c r="W264" s="16" t="s">
        <v>122</v>
      </c>
    </row>
    <row r="265" spans="1:23">
      <c r="A265" s="9" t="s">
        <v>1056</v>
      </c>
      <c r="B265" s="9">
        <f ca="1">+IF(A265=WORLDCUP!$BI$112,1,0)</f>
        <v>0</v>
      </c>
      <c r="C265" s="9" t="str">
        <f ca="1">+WORLDCUP!BD65</f>
        <v>Saudi Arabia</v>
      </c>
      <c r="D265" s="9" t="str">
        <f ca="1">+WORLDCUP!BD64</f>
        <v>Egypt</v>
      </c>
      <c r="E265" s="9" t="str">
        <f ca="1">+WORLDCUP!BD62</f>
        <v>Ivory Coast</v>
      </c>
      <c r="F265" s="9" t="str">
        <f ca="1">+WORLDCUP!BD60</f>
        <v>Scotland</v>
      </c>
      <c r="G265" s="9" t="str">
        <f ca="1">+WORLDCUP!BD58</f>
        <v>South Korea</v>
      </c>
      <c r="H265" s="9" t="str">
        <f ca="1">+WORLDCUP!BD61</f>
        <v>Australia</v>
      </c>
      <c r="I265" s="9" t="str">
        <f ca="1">+WORLDCUP!BD66</f>
        <v>Norway</v>
      </c>
      <c r="J265" s="9" t="str">
        <f ca="1">+WORLDCUP!BD68</f>
        <v>DR Congo</v>
      </c>
      <c r="N265" s="16" t="s">
        <v>1056</v>
      </c>
      <c r="O265" s="16">
        <v>264</v>
      </c>
      <c r="P265" s="16" t="s">
        <v>118</v>
      </c>
      <c r="Q265" s="16" t="s">
        <v>113</v>
      </c>
      <c r="R265" s="16" t="s">
        <v>104</v>
      </c>
      <c r="S265" s="16" t="s">
        <v>95</v>
      </c>
      <c r="T265" s="16" t="s">
        <v>86</v>
      </c>
      <c r="U265" s="16" t="s">
        <v>100</v>
      </c>
      <c r="V265" s="16" t="s">
        <v>122</v>
      </c>
      <c r="W265" s="16" t="s">
        <v>131</v>
      </c>
    </row>
    <row r="266" spans="1:23">
      <c r="A266" s="9" t="s">
        <v>1057</v>
      </c>
      <c r="B266" s="9">
        <f ca="1">+IF(A266=WORLDCUP!$BI$112,1,0)</f>
        <v>0</v>
      </c>
      <c r="C266" s="9" t="str">
        <f ca="1">+WORLDCUP!BD65</f>
        <v>Saudi Arabia</v>
      </c>
      <c r="D266" s="9" t="str">
        <f ca="1">+WORLDCUP!BD64</f>
        <v>Egypt</v>
      </c>
      <c r="E266" s="9" t="str">
        <f ca="1">+WORLDCUP!BD67</f>
        <v>Algeria</v>
      </c>
      <c r="F266" s="9" t="str">
        <f ca="1">+WORLDCUP!BD60</f>
        <v>Scotland</v>
      </c>
      <c r="G266" s="9" t="str">
        <f ca="1">+WORLDCUP!BD58</f>
        <v>South Korea</v>
      </c>
      <c r="H266" s="9" t="str">
        <f ca="1">+WORLDCUP!BD61</f>
        <v>Australia</v>
      </c>
      <c r="I266" s="9" t="str">
        <f ca="1">+WORLDCUP!BD62</f>
        <v>Ivory Coast</v>
      </c>
      <c r="J266" s="9" t="str">
        <f ca="1">+WORLDCUP!BD66</f>
        <v>Norway</v>
      </c>
      <c r="N266" s="16" t="s">
        <v>1057</v>
      </c>
      <c r="O266" s="16">
        <v>265</v>
      </c>
      <c r="P266" s="16" t="s">
        <v>118</v>
      </c>
      <c r="Q266" s="16" t="s">
        <v>113</v>
      </c>
      <c r="R266" s="16" t="s">
        <v>127</v>
      </c>
      <c r="S266" s="16" t="s">
        <v>95</v>
      </c>
      <c r="T266" s="16" t="s">
        <v>86</v>
      </c>
      <c r="U266" s="16" t="s">
        <v>100</v>
      </c>
      <c r="V266" s="16" t="s">
        <v>104</v>
      </c>
      <c r="W266" s="16" t="s">
        <v>122</v>
      </c>
    </row>
    <row r="267" spans="1:23">
      <c r="A267" s="9" t="s">
        <v>1058</v>
      </c>
      <c r="B267" s="9">
        <f ca="1">+IF(A267=WORLDCUP!$BI$112,1,0)</f>
        <v>0</v>
      </c>
      <c r="C267" s="9" t="str">
        <f ca="1">+WORLDCUP!BD60</f>
        <v>Scotland</v>
      </c>
      <c r="D267" s="9" t="str">
        <f ca="1">+WORLDCUP!BD67</f>
        <v>Algeria</v>
      </c>
      <c r="E267" s="9" t="str">
        <f ca="1">+WORLDCUP!BD62</f>
        <v>Ivory Coast</v>
      </c>
      <c r="F267" s="9" t="str">
        <f ca="1">+WORLDCUP!BD61</f>
        <v>Australia</v>
      </c>
      <c r="G267" s="9" t="str">
        <f ca="1">+WORLDCUP!BD58</f>
        <v>South Korea</v>
      </c>
      <c r="H267" s="9" t="str">
        <f ca="1">+WORLDCUP!BD63</f>
        <v>Tunisia</v>
      </c>
      <c r="I267" s="9" t="str">
        <f ca="1">+WORLDCUP!BD69</f>
        <v>Croatia</v>
      </c>
      <c r="J267" s="9" t="str">
        <f ca="1">+WORLDCUP!BD68</f>
        <v>DR Congo</v>
      </c>
      <c r="N267" s="16" t="s">
        <v>1058</v>
      </c>
      <c r="O267" s="16">
        <v>266</v>
      </c>
      <c r="P267" s="16" t="s">
        <v>95</v>
      </c>
      <c r="Q267" s="16" t="s">
        <v>127</v>
      </c>
      <c r="R267" s="16" t="s">
        <v>104</v>
      </c>
      <c r="S267" s="16" t="s">
        <v>100</v>
      </c>
      <c r="T267" s="16" t="s">
        <v>86</v>
      </c>
      <c r="U267" s="16" t="s">
        <v>109</v>
      </c>
      <c r="V267" s="16" t="s">
        <v>136</v>
      </c>
      <c r="W267" s="16" t="s">
        <v>131</v>
      </c>
    </row>
    <row r="268" spans="1:23">
      <c r="A268" s="9" t="s">
        <v>1059</v>
      </c>
      <c r="B268" s="9">
        <f ca="1">+IF(A268=WORLDCUP!$BI$112,1,0)</f>
        <v>0</v>
      </c>
      <c r="C268" s="9" t="str">
        <f ca="1">+WORLDCUP!BD60</f>
        <v>Scotland</v>
      </c>
      <c r="D268" s="9" t="str">
        <f ca="1">+WORLDCUP!BD62</f>
        <v>Ivory Coast</v>
      </c>
      <c r="E268" s="9" t="str">
        <f ca="1">+WORLDCUP!BD66</f>
        <v>Norway</v>
      </c>
      <c r="F268" s="9" t="str">
        <f ca="1">+WORLDCUP!BD61</f>
        <v>Australia</v>
      </c>
      <c r="G268" s="9" t="str">
        <f ca="1">+WORLDCUP!BD58</f>
        <v>South Korea</v>
      </c>
      <c r="H268" s="9" t="str">
        <f ca="1">+WORLDCUP!BD63</f>
        <v>Tunisia</v>
      </c>
      <c r="I268" s="9" t="str">
        <f ca="1">+WORLDCUP!BD69</f>
        <v>Croatia</v>
      </c>
      <c r="J268" s="9" t="str">
        <f ca="1">+WORLDCUP!BD68</f>
        <v>DR Congo</v>
      </c>
      <c r="N268" s="16" t="s">
        <v>1059</v>
      </c>
      <c r="O268" s="16">
        <v>267</v>
      </c>
      <c r="P268" s="16" t="s">
        <v>95</v>
      </c>
      <c r="Q268" s="16" t="s">
        <v>104</v>
      </c>
      <c r="R268" s="16" t="s">
        <v>122</v>
      </c>
      <c r="S268" s="16" t="s">
        <v>100</v>
      </c>
      <c r="T268" s="16" t="s">
        <v>86</v>
      </c>
      <c r="U268" s="16" t="s">
        <v>109</v>
      </c>
      <c r="V268" s="16" t="s">
        <v>136</v>
      </c>
      <c r="W268" s="16" t="s">
        <v>131</v>
      </c>
    </row>
    <row r="269" spans="1:23">
      <c r="A269" s="9" t="s">
        <v>1060</v>
      </c>
      <c r="B269" s="9">
        <f ca="1">+IF(A269=WORLDCUP!$BI$112,1,0)</f>
        <v>0</v>
      </c>
      <c r="C269" s="9" t="str">
        <f ca="1">+WORLDCUP!BD60</f>
        <v>Scotland</v>
      </c>
      <c r="D269" s="9" t="str">
        <f ca="1">+WORLDCUP!BD67</f>
        <v>Algeria</v>
      </c>
      <c r="E269" s="9" t="str">
        <f ca="1">+WORLDCUP!BD62</f>
        <v>Ivory Coast</v>
      </c>
      <c r="F269" s="9" t="str">
        <f ca="1">+WORLDCUP!BD61</f>
        <v>Australia</v>
      </c>
      <c r="G269" s="9" t="str">
        <f ca="1">+WORLDCUP!BD58</f>
        <v>South Korea</v>
      </c>
      <c r="H269" s="9" t="str">
        <f ca="1">+WORLDCUP!BD63</f>
        <v>Tunisia</v>
      </c>
      <c r="I269" s="9" t="str">
        <f ca="1">+WORLDCUP!BD69</f>
        <v>Croatia</v>
      </c>
      <c r="J269" s="9" t="str">
        <f ca="1">+WORLDCUP!BD66</f>
        <v>Norway</v>
      </c>
      <c r="N269" s="16" t="s">
        <v>1060</v>
      </c>
      <c r="O269" s="16">
        <v>268</v>
      </c>
      <c r="P269" s="16" t="s">
        <v>95</v>
      </c>
      <c r="Q269" s="16" t="s">
        <v>127</v>
      </c>
      <c r="R269" s="16" t="s">
        <v>104</v>
      </c>
      <c r="S269" s="16" t="s">
        <v>100</v>
      </c>
      <c r="T269" s="16" t="s">
        <v>86</v>
      </c>
      <c r="U269" s="16" t="s">
        <v>109</v>
      </c>
      <c r="V269" s="16" t="s">
        <v>136</v>
      </c>
      <c r="W269" s="16" t="s">
        <v>122</v>
      </c>
    </row>
    <row r="270" spans="1:23">
      <c r="A270" s="9" t="s">
        <v>1061</v>
      </c>
      <c r="B270" s="9">
        <f ca="1">+IF(A270=WORLDCUP!$BI$112,1,0)</f>
        <v>0</v>
      </c>
      <c r="C270" s="9" t="str">
        <f ca="1">+WORLDCUP!BD60</f>
        <v>Scotland</v>
      </c>
      <c r="D270" s="9" t="str">
        <f ca="1">+WORLDCUP!BD67</f>
        <v>Algeria</v>
      </c>
      <c r="E270" s="9" t="str">
        <f ca="1">+WORLDCUP!BD62</f>
        <v>Ivory Coast</v>
      </c>
      <c r="F270" s="9" t="str">
        <f ca="1">+WORLDCUP!BD61</f>
        <v>Australia</v>
      </c>
      <c r="G270" s="9" t="str">
        <f ca="1">+WORLDCUP!BD58</f>
        <v>South Korea</v>
      </c>
      <c r="H270" s="9" t="str">
        <f ca="1">+WORLDCUP!BD63</f>
        <v>Tunisia</v>
      </c>
      <c r="I270" s="9" t="str">
        <f ca="1">+WORLDCUP!BD66</f>
        <v>Norway</v>
      </c>
      <c r="J270" s="9" t="str">
        <f ca="1">+WORLDCUP!BD68</f>
        <v>DR Congo</v>
      </c>
      <c r="N270" s="16" t="s">
        <v>1061</v>
      </c>
      <c r="O270" s="16">
        <v>269</v>
      </c>
      <c r="P270" s="16" t="s">
        <v>95</v>
      </c>
      <c r="Q270" s="16" t="s">
        <v>127</v>
      </c>
      <c r="R270" s="16" t="s">
        <v>104</v>
      </c>
      <c r="S270" s="16" t="s">
        <v>100</v>
      </c>
      <c r="T270" s="16" t="s">
        <v>86</v>
      </c>
      <c r="U270" s="16" t="s">
        <v>109</v>
      </c>
      <c r="V270" s="16" t="s">
        <v>122</v>
      </c>
      <c r="W270" s="16" t="s">
        <v>131</v>
      </c>
    </row>
    <row r="271" spans="1:23">
      <c r="A271" s="9" t="s">
        <v>1062</v>
      </c>
      <c r="B271" s="9">
        <f ca="1">+IF(A271=WORLDCUP!$BI$112,1,0)</f>
        <v>0</v>
      </c>
      <c r="C271" s="9" t="str">
        <f ca="1">+WORLDCUP!BD65</f>
        <v>Saudi Arabia</v>
      </c>
      <c r="D271" s="9" t="str">
        <f ca="1">+WORLDCUP!BD62</f>
        <v>Ivory Coast</v>
      </c>
      <c r="E271" s="9" t="str">
        <f ca="1">+WORLDCUP!BD63</f>
        <v>Tunisia</v>
      </c>
      <c r="F271" s="9" t="str">
        <f ca="1">+WORLDCUP!BD60</f>
        <v>Scotland</v>
      </c>
      <c r="G271" s="9" t="str">
        <f ca="1">+WORLDCUP!BD58</f>
        <v>South Korea</v>
      </c>
      <c r="H271" s="9" t="str">
        <f ca="1">+WORLDCUP!BD61</f>
        <v>Australia</v>
      </c>
      <c r="I271" s="9" t="str">
        <f ca="1">+WORLDCUP!BD69</f>
        <v>Croatia</v>
      </c>
      <c r="J271" s="9" t="str">
        <f ca="1">+WORLDCUP!BD68</f>
        <v>DR Congo</v>
      </c>
      <c r="N271" s="16" t="s">
        <v>1062</v>
      </c>
      <c r="O271" s="16">
        <v>270</v>
      </c>
      <c r="P271" s="16" t="s">
        <v>118</v>
      </c>
      <c r="Q271" s="16" t="s">
        <v>104</v>
      </c>
      <c r="R271" s="16" t="s">
        <v>109</v>
      </c>
      <c r="S271" s="16" t="s">
        <v>95</v>
      </c>
      <c r="T271" s="16" t="s">
        <v>86</v>
      </c>
      <c r="U271" s="16" t="s">
        <v>100</v>
      </c>
      <c r="V271" s="16" t="s">
        <v>136</v>
      </c>
      <c r="W271" s="16" t="s">
        <v>131</v>
      </c>
    </row>
    <row r="272" spans="1:23">
      <c r="A272" s="9" t="s">
        <v>1063</v>
      </c>
      <c r="B272" s="9">
        <f ca="1">+IF(A272=WORLDCUP!$BI$112,1,0)</f>
        <v>0</v>
      </c>
      <c r="C272" s="9" t="str">
        <f ca="1">+WORLDCUP!BD65</f>
        <v>Saudi Arabia</v>
      </c>
      <c r="D272" s="9" t="str">
        <f ca="1">+WORLDCUP!BD67</f>
        <v>Algeria</v>
      </c>
      <c r="E272" s="9" t="str">
        <f ca="1">+WORLDCUP!BD63</f>
        <v>Tunisia</v>
      </c>
      <c r="F272" s="9" t="str">
        <f ca="1">+WORLDCUP!BD60</f>
        <v>Scotland</v>
      </c>
      <c r="G272" s="9" t="str">
        <f ca="1">+WORLDCUP!BD58</f>
        <v>South Korea</v>
      </c>
      <c r="H272" s="9" t="str">
        <f ca="1">+WORLDCUP!BD61</f>
        <v>Australia</v>
      </c>
      <c r="I272" s="9" t="str">
        <f ca="1">+WORLDCUP!BD69</f>
        <v>Croatia</v>
      </c>
      <c r="J272" s="9" t="str">
        <f ca="1">+WORLDCUP!BD62</f>
        <v>Ivory Coast</v>
      </c>
      <c r="N272" s="16" t="s">
        <v>1063</v>
      </c>
      <c r="O272" s="16">
        <v>271</v>
      </c>
      <c r="P272" s="16" t="s">
        <v>118</v>
      </c>
      <c r="Q272" s="16" t="s">
        <v>127</v>
      </c>
      <c r="R272" s="16" t="s">
        <v>109</v>
      </c>
      <c r="S272" s="16" t="s">
        <v>95</v>
      </c>
      <c r="T272" s="16" t="s">
        <v>86</v>
      </c>
      <c r="U272" s="16" t="s">
        <v>100</v>
      </c>
      <c r="V272" s="16" t="s">
        <v>136</v>
      </c>
      <c r="W272" s="16" t="s">
        <v>104</v>
      </c>
    </row>
    <row r="273" spans="1:23">
      <c r="A273" s="9" t="s">
        <v>1064</v>
      </c>
      <c r="B273" s="9">
        <f ca="1">+IF(A273=WORLDCUP!$BI$112,1,0)</f>
        <v>0</v>
      </c>
      <c r="C273" s="9" t="str">
        <f ca="1">+WORLDCUP!BD65</f>
        <v>Saudi Arabia</v>
      </c>
      <c r="D273" s="9" t="str">
        <f ca="1">+WORLDCUP!BD67</f>
        <v>Algeria</v>
      </c>
      <c r="E273" s="9" t="str">
        <f ca="1">+WORLDCUP!BD62</f>
        <v>Ivory Coast</v>
      </c>
      <c r="F273" s="9" t="str">
        <f ca="1">+WORLDCUP!BD60</f>
        <v>Scotland</v>
      </c>
      <c r="G273" s="9" t="str">
        <f ca="1">+WORLDCUP!BD58</f>
        <v>South Korea</v>
      </c>
      <c r="H273" s="9" t="str">
        <f ca="1">+WORLDCUP!BD63</f>
        <v>Tunisia</v>
      </c>
      <c r="I273" s="9" t="str">
        <f ca="1">+WORLDCUP!BD61</f>
        <v>Australia</v>
      </c>
      <c r="J273" s="9" t="str">
        <f ca="1">+WORLDCUP!BD68</f>
        <v>DR Congo</v>
      </c>
      <c r="N273" s="16" t="s">
        <v>1064</v>
      </c>
      <c r="O273" s="16">
        <v>272</v>
      </c>
      <c r="P273" s="16" t="s">
        <v>118</v>
      </c>
      <c r="Q273" s="16" t="s">
        <v>127</v>
      </c>
      <c r="R273" s="16" t="s">
        <v>104</v>
      </c>
      <c r="S273" s="16" t="s">
        <v>95</v>
      </c>
      <c r="T273" s="16" t="s">
        <v>86</v>
      </c>
      <c r="U273" s="16" t="s">
        <v>109</v>
      </c>
      <c r="V273" s="16" t="s">
        <v>100</v>
      </c>
      <c r="W273" s="16" t="s">
        <v>131</v>
      </c>
    </row>
    <row r="274" spans="1:23">
      <c r="A274" s="9" t="s">
        <v>1065</v>
      </c>
      <c r="B274" s="9">
        <f ca="1">+IF(A274=WORLDCUP!$BI$112,1,0)</f>
        <v>0</v>
      </c>
      <c r="C274" s="9" t="str">
        <f ca="1">+WORLDCUP!BD65</f>
        <v>Saudi Arabia</v>
      </c>
      <c r="D274" s="9" t="str">
        <f ca="1">+WORLDCUP!BD62</f>
        <v>Ivory Coast</v>
      </c>
      <c r="E274" s="9" t="str">
        <f ca="1">+WORLDCUP!BD63</f>
        <v>Tunisia</v>
      </c>
      <c r="F274" s="9" t="str">
        <f ca="1">+WORLDCUP!BD60</f>
        <v>Scotland</v>
      </c>
      <c r="G274" s="9" t="str">
        <f ca="1">+WORLDCUP!BD58</f>
        <v>South Korea</v>
      </c>
      <c r="H274" s="9" t="str">
        <f ca="1">+WORLDCUP!BD61</f>
        <v>Australia</v>
      </c>
      <c r="I274" s="9" t="str">
        <f ca="1">+WORLDCUP!BD69</f>
        <v>Croatia</v>
      </c>
      <c r="J274" s="9" t="str">
        <f ca="1">+WORLDCUP!BD66</f>
        <v>Norway</v>
      </c>
      <c r="N274" s="16" t="s">
        <v>1065</v>
      </c>
      <c r="O274" s="16">
        <v>273</v>
      </c>
      <c r="P274" s="16" t="s">
        <v>118</v>
      </c>
      <c r="Q274" s="16" t="s">
        <v>104</v>
      </c>
      <c r="R274" s="16" t="s">
        <v>109</v>
      </c>
      <c r="S274" s="16" t="s">
        <v>95</v>
      </c>
      <c r="T274" s="16" t="s">
        <v>86</v>
      </c>
      <c r="U274" s="16" t="s">
        <v>100</v>
      </c>
      <c r="V274" s="16" t="s">
        <v>136</v>
      </c>
      <c r="W274" s="16" t="s">
        <v>122</v>
      </c>
    </row>
    <row r="275" spans="1:23">
      <c r="A275" s="9" t="s">
        <v>1066</v>
      </c>
      <c r="B275" s="9">
        <f ca="1">+IF(A275=WORLDCUP!$BI$112,1,0)</f>
        <v>0</v>
      </c>
      <c r="C275" s="9" t="str">
        <f ca="1">+WORLDCUP!BD65</f>
        <v>Saudi Arabia</v>
      </c>
      <c r="D275" s="9" t="str">
        <f ca="1">+WORLDCUP!BD62</f>
        <v>Ivory Coast</v>
      </c>
      <c r="E275" s="9" t="str">
        <f ca="1">+WORLDCUP!BD63</f>
        <v>Tunisia</v>
      </c>
      <c r="F275" s="9" t="str">
        <f ca="1">+WORLDCUP!BD60</f>
        <v>Scotland</v>
      </c>
      <c r="G275" s="9" t="str">
        <f ca="1">+WORLDCUP!BD58</f>
        <v>South Korea</v>
      </c>
      <c r="H275" s="9" t="str">
        <f ca="1">+WORLDCUP!BD61</f>
        <v>Australia</v>
      </c>
      <c r="I275" s="9" t="str">
        <f ca="1">+WORLDCUP!BD66</f>
        <v>Norway</v>
      </c>
      <c r="J275" s="9" t="str">
        <f ca="1">+WORLDCUP!BD68</f>
        <v>DR Congo</v>
      </c>
      <c r="N275" s="16" t="s">
        <v>1066</v>
      </c>
      <c r="O275" s="16">
        <v>274</v>
      </c>
      <c r="P275" s="16" t="s">
        <v>118</v>
      </c>
      <c r="Q275" s="16" t="s">
        <v>104</v>
      </c>
      <c r="R275" s="16" t="s">
        <v>109</v>
      </c>
      <c r="S275" s="16" t="s">
        <v>95</v>
      </c>
      <c r="T275" s="16" t="s">
        <v>86</v>
      </c>
      <c r="U275" s="16" t="s">
        <v>100</v>
      </c>
      <c r="V275" s="16" t="s">
        <v>122</v>
      </c>
      <c r="W275" s="16" t="s">
        <v>131</v>
      </c>
    </row>
    <row r="276" spans="1:23">
      <c r="A276" s="9" t="s">
        <v>1067</v>
      </c>
      <c r="B276" s="9">
        <f ca="1">+IF(A276=WORLDCUP!$BI$112,1,0)</f>
        <v>0</v>
      </c>
      <c r="C276" s="9" t="str">
        <f ca="1">+WORLDCUP!BD65</f>
        <v>Saudi Arabia</v>
      </c>
      <c r="D276" s="9" t="str">
        <f ca="1">+WORLDCUP!BD67</f>
        <v>Algeria</v>
      </c>
      <c r="E276" s="9" t="str">
        <f ca="1">+WORLDCUP!BD62</f>
        <v>Ivory Coast</v>
      </c>
      <c r="F276" s="9" t="str">
        <f ca="1">+WORLDCUP!BD60</f>
        <v>Scotland</v>
      </c>
      <c r="G276" s="9" t="str">
        <f ca="1">+WORLDCUP!BD58</f>
        <v>South Korea</v>
      </c>
      <c r="H276" s="9" t="str">
        <f ca="1">+WORLDCUP!BD63</f>
        <v>Tunisia</v>
      </c>
      <c r="I276" s="9" t="str">
        <f ca="1">+WORLDCUP!BD61</f>
        <v>Australia</v>
      </c>
      <c r="J276" s="9" t="str">
        <f ca="1">+WORLDCUP!BD66</f>
        <v>Norway</v>
      </c>
      <c r="N276" s="16" t="s">
        <v>1067</v>
      </c>
      <c r="O276" s="16">
        <v>275</v>
      </c>
      <c r="P276" s="16" t="s">
        <v>118</v>
      </c>
      <c r="Q276" s="16" t="s">
        <v>127</v>
      </c>
      <c r="R276" s="16" t="s">
        <v>104</v>
      </c>
      <c r="S276" s="16" t="s">
        <v>95</v>
      </c>
      <c r="T276" s="16" t="s">
        <v>86</v>
      </c>
      <c r="U276" s="16" t="s">
        <v>109</v>
      </c>
      <c r="V276" s="16" t="s">
        <v>100</v>
      </c>
      <c r="W276" s="16" t="s">
        <v>122</v>
      </c>
    </row>
    <row r="277" spans="1:23">
      <c r="A277" s="9" t="s">
        <v>1068</v>
      </c>
      <c r="B277" s="9">
        <f ca="1">+IF(A277=WORLDCUP!$BI$112,1,0)</f>
        <v>0</v>
      </c>
      <c r="C277" s="9" t="str">
        <f ca="1">+WORLDCUP!BD60</f>
        <v>Scotland</v>
      </c>
      <c r="D277" s="9" t="str">
        <f ca="1">+WORLDCUP!BD64</f>
        <v>Egypt</v>
      </c>
      <c r="E277" s="9" t="str">
        <f ca="1">+WORLDCUP!BD62</f>
        <v>Ivory Coast</v>
      </c>
      <c r="F277" s="9" t="str">
        <f ca="1">+WORLDCUP!BD61</f>
        <v>Australia</v>
      </c>
      <c r="G277" s="9" t="str">
        <f ca="1">+WORLDCUP!BD58</f>
        <v>South Korea</v>
      </c>
      <c r="H277" s="9" t="str">
        <f ca="1">+WORLDCUP!BD63</f>
        <v>Tunisia</v>
      </c>
      <c r="I277" s="9" t="str">
        <f ca="1">+WORLDCUP!BD69</f>
        <v>Croatia</v>
      </c>
      <c r="J277" s="9" t="str">
        <f ca="1">+WORLDCUP!BD68</f>
        <v>DR Congo</v>
      </c>
      <c r="N277" s="16" t="s">
        <v>1068</v>
      </c>
      <c r="O277" s="16">
        <v>276</v>
      </c>
      <c r="P277" s="16" t="s">
        <v>95</v>
      </c>
      <c r="Q277" s="16" t="s">
        <v>113</v>
      </c>
      <c r="R277" s="16" t="s">
        <v>104</v>
      </c>
      <c r="S277" s="16" t="s">
        <v>100</v>
      </c>
      <c r="T277" s="16" t="s">
        <v>86</v>
      </c>
      <c r="U277" s="16" t="s">
        <v>109</v>
      </c>
      <c r="V277" s="16" t="s">
        <v>136</v>
      </c>
      <c r="W277" s="16" t="s">
        <v>131</v>
      </c>
    </row>
    <row r="278" spans="1:23">
      <c r="A278" s="9" t="s">
        <v>1069</v>
      </c>
      <c r="B278" s="9">
        <f ca="1">+IF(A278=WORLDCUP!$BI$112,1,0)</f>
        <v>0</v>
      </c>
      <c r="C278" s="9" t="str">
        <f ca="1">+WORLDCUP!BD60</f>
        <v>Scotland</v>
      </c>
      <c r="D278" s="9" t="str">
        <f ca="1">+WORLDCUP!BD64</f>
        <v>Egypt</v>
      </c>
      <c r="E278" s="9" t="str">
        <f ca="1">+WORLDCUP!BD67</f>
        <v>Algeria</v>
      </c>
      <c r="F278" s="9" t="str">
        <f ca="1">+WORLDCUP!BD61</f>
        <v>Australia</v>
      </c>
      <c r="G278" s="9" t="str">
        <f ca="1">+WORLDCUP!BD58</f>
        <v>South Korea</v>
      </c>
      <c r="H278" s="9" t="str">
        <f ca="1">+WORLDCUP!BD63</f>
        <v>Tunisia</v>
      </c>
      <c r="I278" s="9" t="str">
        <f ca="1">+WORLDCUP!BD69</f>
        <v>Croatia</v>
      </c>
      <c r="J278" s="9" t="str">
        <f ca="1">+WORLDCUP!BD62</f>
        <v>Ivory Coast</v>
      </c>
      <c r="N278" s="16" t="s">
        <v>1069</v>
      </c>
      <c r="O278" s="16">
        <v>277</v>
      </c>
      <c r="P278" s="16" t="s">
        <v>95</v>
      </c>
      <c r="Q278" s="16" t="s">
        <v>113</v>
      </c>
      <c r="R278" s="16" t="s">
        <v>127</v>
      </c>
      <c r="S278" s="16" t="s">
        <v>100</v>
      </c>
      <c r="T278" s="16" t="s">
        <v>86</v>
      </c>
      <c r="U278" s="16" t="s">
        <v>109</v>
      </c>
      <c r="V278" s="16" t="s">
        <v>136</v>
      </c>
      <c r="W278" s="16" t="s">
        <v>104</v>
      </c>
    </row>
    <row r="279" spans="1:23">
      <c r="A279" s="9" t="s">
        <v>1070</v>
      </c>
      <c r="B279" s="9">
        <f ca="1">+IF(A279=WORLDCUP!$BI$112,1,0)</f>
        <v>0</v>
      </c>
      <c r="C279" s="9" t="str">
        <f ca="1">+WORLDCUP!BD60</f>
        <v>Scotland</v>
      </c>
      <c r="D279" s="9" t="str">
        <f ca="1">+WORLDCUP!BD64</f>
        <v>Egypt</v>
      </c>
      <c r="E279" s="9" t="str">
        <f ca="1">+WORLDCUP!BD67</f>
        <v>Algeria</v>
      </c>
      <c r="F279" s="9" t="str">
        <f ca="1">+WORLDCUP!BD61</f>
        <v>Australia</v>
      </c>
      <c r="G279" s="9" t="str">
        <f ca="1">+WORLDCUP!BD58</f>
        <v>South Korea</v>
      </c>
      <c r="H279" s="9" t="str">
        <f ca="1">+WORLDCUP!BD63</f>
        <v>Tunisia</v>
      </c>
      <c r="I279" s="9" t="str">
        <f ca="1">+WORLDCUP!BD62</f>
        <v>Ivory Coast</v>
      </c>
      <c r="J279" s="9" t="str">
        <f ca="1">+WORLDCUP!BD68</f>
        <v>DR Congo</v>
      </c>
      <c r="N279" s="16" t="s">
        <v>1070</v>
      </c>
      <c r="O279" s="16">
        <v>278</v>
      </c>
      <c r="P279" s="16" t="s">
        <v>95</v>
      </c>
      <c r="Q279" s="16" t="s">
        <v>113</v>
      </c>
      <c r="R279" s="16" t="s">
        <v>127</v>
      </c>
      <c r="S279" s="16" t="s">
        <v>100</v>
      </c>
      <c r="T279" s="16" t="s">
        <v>86</v>
      </c>
      <c r="U279" s="16" t="s">
        <v>109</v>
      </c>
      <c r="V279" s="16" t="s">
        <v>104</v>
      </c>
      <c r="W279" s="16" t="s">
        <v>131</v>
      </c>
    </row>
    <row r="280" spans="1:23">
      <c r="A280" s="9" t="s">
        <v>1071</v>
      </c>
      <c r="B280" s="9">
        <f ca="1">+IF(A280=WORLDCUP!$BI$112,1,0)</f>
        <v>0</v>
      </c>
      <c r="C280" s="9" t="str">
        <f ca="1">+WORLDCUP!BD60</f>
        <v>Scotland</v>
      </c>
      <c r="D280" s="9" t="str">
        <f ca="1">+WORLDCUP!BD64</f>
        <v>Egypt</v>
      </c>
      <c r="E280" s="9" t="str">
        <f ca="1">+WORLDCUP!BD62</f>
        <v>Ivory Coast</v>
      </c>
      <c r="F280" s="9" t="str">
        <f ca="1">+WORLDCUP!BD61</f>
        <v>Australia</v>
      </c>
      <c r="G280" s="9" t="str">
        <f ca="1">+WORLDCUP!BD58</f>
        <v>South Korea</v>
      </c>
      <c r="H280" s="9" t="str">
        <f ca="1">+WORLDCUP!BD63</f>
        <v>Tunisia</v>
      </c>
      <c r="I280" s="9" t="str">
        <f ca="1">+WORLDCUP!BD69</f>
        <v>Croatia</v>
      </c>
      <c r="J280" s="9" t="str">
        <f ca="1">+WORLDCUP!BD66</f>
        <v>Norway</v>
      </c>
      <c r="N280" s="16" t="s">
        <v>1071</v>
      </c>
      <c r="O280" s="16">
        <v>279</v>
      </c>
      <c r="P280" s="16" t="s">
        <v>95</v>
      </c>
      <c r="Q280" s="16" t="s">
        <v>113</v>
      </c>
      <c r="R280" s="16" t="s">
        <v>104</v>
      </c>
      <c r="S280" s="16" t="s">
        <v>100</v>
      </c>
      <c r="T280" s="16" t="s">
        <v>86</v>
      </c>
      <c r="U280" s="16" t="s">
        <v>109</v>
      </c>
      <c r="V280" s="16" t="s">
        <v>136</v>
      </c>
      <c r="W280" s="16" t="s">
        <v>122</v>
      </c>
    </row>
    <row r="281" spans="1:23">
      <c r="A281" s="9" t="s">
        <v>1072</v>
      </c>
      <c r="B281" s="9">
        <f ca="1">+IF(A281=WORLDCUP!$BI$112,1,0)</f>
        <v>0</v>
      </c>
      <c r="C281" s="9" t="str">
        <f ca="1">+WORLDCUP!BD60</f>
        <v>Scotland</v>
      </c>
      <c r="D281" s="9" t="str">
        <f ca="1">+WORLDCUP!BD64</f>
        <v>Egypt</v>
      </c>
      <c r="E281" s="9" t="str">
        <f ca="1">+WORLDCUP!BD62</f>
        <v>Ivory Coast</v>
      </c>
      <c r="F281" s="9" t="str">
        <f ca="1">+WORLDCUP!BD61</f>
        <v>Australia</v>
      </c>
      <c r="G281" s="9" t="str">
        <f ca="1">+WORLDCUP!BD58</f>
        <v>South Korea</v>
      </c>
      <c r="H281" s="9" t="str">
        <f ca="1">+WORLDCUP!BD63</f>
        <v>Tunisia</v>
      </c>
      <c r="I281" s="9" t="str">
        <f ca="1">+WORLDCUP!BD66</f>
        <v>Norway</v>
      </c>
      <c r="J281" s="9" t="str">
        <f ca="1">+WORLDCUP!BD68</f>
        <v>DR Congo</v>
      </c>
      <c r="N281" s="16" t="s">
        <v>1072</v>
      </c>
      <c r="O281" s="16">
        <v>280</v>
      </c>
      <c r="P281" s="16" t="s">
        <v>95</v>
      </c>
      <c r="Q281" s="16" t="s">
        <v>113</v>
      </c>
      <c r="R281" s="16" t="s">
        <v>104</v>
      </c>
      <c r="S281" s="16" t="s">
        <v>100</v>
      </c>
      <c r="T281" s="16" t="s">
        <v>86</v>
      </c>
      <c r="U281" s="16" t="s">
        <v>109</v>
      </c>
      <c r="V281" s="16" t="s">
        <v>122</v>
      </c>
      <c r="W281" s="16" t="s">
        <v>131</v>
      </c>
    </row>
    <row r="282" spans="1:23">
      <c r="A282" s="9" t="s">
        <v>1073</v>
      </c>
      <c r="B282" s="9">
        <f ca="1">+IF(A282=WORLDCUP!$BI$112,1,0)</f>
        <v>0</v>
      </c>
      <c r="C282" s="9" t="str">
        <f ca="1">+WORLDCUP!BD60</f>
        <v>Scotland</v>
      </c>
      <c r="D282" s="9" t="str">
        <f ca="1">+WORLDCUP!BD64</f>
        <v>Egypt</v>
      </c>
      <c r="E282" s="9" t="str">
        <f ca="1">+WORLDCUP!BD67</f>
        <v>Algeria</v>
      </c>
      <c r="F282" s="9" t="str">
        <f ca="1">+WORLDCUP!BD61</f>
        <v>Australia</v>
      </c>
      <c r="G282" s="9" t="str">
        <f ca="1">+WORLDCUP!BD58</f>
        <v>South Korea</v>
      </c>
      <c r="H282" s="9" t="str">
        <f ca="1">+WORLDCUP!BD63</f>
        <v>Tunisia</v>
      </c>
      <c r="I282" s="9" t="str">
        <f ca="1">+WORLDCUP!BD62</f>
        <v>Ivory Coast</v>
      </c>
      <c r="J282" s="9" t="str">
        <f ca="1">+WORLDCUP!BD66</f>
        <v>Norway</v>
      </c>
      <c r="N282" s="16" t="s">
        <v>1073</v>
      </c>
      <c r="O282" s="16">
        <v>281</v>
      </c>
      <c r="P282" s="16" t="s">
        <v>95</v>
      </c>
      <c r="Q282" s="16" t="s">
        <v>113</v>
      </c>
      <c r="R282" s="16" t="s">
        <v>127</v>
      </c>
      <c r="S282" s="16" t="s">
        <v>100</v>
      </c>
      <c r="T282" s="16" t="s">
        <v>86</v>
      </c>
      <c r="U282" s="16" t="s">
        <v>109</v>
      </c>
      <c r="V282" s="16" t="s">
        <v>104</v>
      </c>
      <c r="W282" s="16" t="s">
        <v>122</v>
      </c>
    </row>
    <row r="283" spans="1:23">
      <c r="A283" s="9" t="s">
        <v>1074</v>
      </c>
      <c r="B283" s="9">
        <f ca="1">+IF(A283=WORLDCUP!$BI$112,1,0)</f>
        <v>0</v>
      </c>
      <c r="C283" s="9" t="str">
        <f ca="1">+WORLDCUP!BD65</f>
        <v>Saudi Arabia</v>
      </c>
      <c r="D283" s="9" t="str">
        <f ca="1">+WORLDCUP!BD64</f>
        <v>Egypt</v>
      </c>
      <c r="E283" s="9" t="str">
        <f ca="1">+WORLDCUP!BD63</f>
        <v>Tunisia</v>
      </c>
      <c r="F283" s="9" t="str">
        <f ca="1">+WORLDCUP!BD60</f>
        <v>Scotland</v>
      </c>
      <c r="G283" s="9" t="str">
        <f ca="1">+WORLDCUP!BD58</f>
        <v>South Korea</v>
      </c>
      <c r="H283" s="9" t="str">
        <f ca="1">+WORLDCUP!BD61</f>
        <v>Australia</v>
      </c>
      <c r="I283" s="9" t="str">
        <f ca="1">+WORLDCUP!BD69</f>
        <v>Croatia</v>
      </c>
      <c r="J283" s="9" t="str">
        <f ca="1">+WORLDCUP!BD62</f>
        <v>Ivory Coast</v>
      </c>
      <c r="N283" s="16" t="s">
        <v>1074</v>
      </c>
      <c r="O283" s="16">
        <v>282</v>
      </c>
      <c r="P283" s="16" t="s">
        <v>118</v>
      </c>
      <c r="Q283" s="16" t="s">
        <v>113</v>
      </c>
      <c r="R283" s="16" t="s">
        <v>109</v>
      </c>
      <c r="S283" s="16" t="s">
        <v>95</v>
      </c>
      <c r="T283" s="16" t="s">
        <v>86</v>
      </c>
      <c r="U283" s="16" t="s">
        <v>100</v>
      </c>
      <c r="V283" s="16" t="s">
        <v>136</v>
      </c>
      <c r="W283" s="16" t="s">
        <v>104</v>
      </c>
    </row>
    <row r="284" spans="1:23">
      <c r="A284" s="9" t="s">
        <v>1075</v>
      </c>
      <c r="B284" s="9">
        <f ca="1">+IF(A284=WORLDCUP!$BI$112,1,0)</f>
        <v>0</v>
      </c>
      <c r="C284" s="9" t="str">
        <f ca="1">+WORLDCUP!BD65</f>
        <v>Saudi Arabia</v>
      </c>
      <c r="D284" s="9" t="str">
        <f ca="1">+WORLDCUP!BD64</f>
        <v>Egypt</v>
      </c>
      <c r="E284" s="9" t="str">
        <f ca="1">+WORLDCUP!BD62</f>
        <v>Ivory Coast</v>
      </c>
      <c r="F284" s="9" t="str">
        <f ca="1">+WORLDCUP!BD60</f>
        <v>Scotland</v>
      </c>
      <c r="G284" s="9" t="str">
        <f ca="1">+WORLDCUP!BD58</f>
        <v>South Korea</v>
      </c>
      <c r="H284" s="9" t="str">
        <f ca="1">+WORLDCUP!BD63</f>
        <v>Tunisia</v>
      </c>
      <c r="I284" s="9" t="str">
        <f ca="1">+WORLDCUP!BD61</f>
        <v>Australia</v>
      </c>
      <c r="J284" s="9" t="str">
        <f ca="1">+WORLDCUP!BD68</f>
        <v>DR Congo</v>
      </c>
      <c r="N284" s="16" t="s">
        <v>1075</v>
      </c>
      <c r="O284" s="16">
        <v>283</v>
      </c>
      <c r="P284" s="16" t="s">
        <v>118</v>
      </c>
      <c r="Q284" s="16" t="s">
        <v>113</v>
      </c>
      <c r="R284" s="16" t="s">
        <v>104</v>
      </c>
      <c r="S284" s="16" t="s">
        <v>95</v>
      </c>
      <c r="T284" s="16" t="s">
        <v>86</v>
      </c>
      <c r="U284" s="16" t="s">
        <v>109</v>
      </c>
      <c r="V284" s="16" t="s">
        <v>100</v>
      </c>
      <c r="W284" s="16" t="s">
        <v>131</v>
      </c>
    </row>
    <row r="285" spans="1:23">
      <c r="A285" s="9" t="s">
        <v>1076</v>
      </c>
      <c r="B285" s="9">
        <f ca="1">+IF(A285=WORLDCUP!$BI$112,1,0)</f>
        <v>0</v>
      </c>
      <c r="C285" s="9" t="str">
        <f ca="1">+WORLDCUP!BD65</f>
        <v>Saudi Arabia</v>
      </c>
      <c r="D285" s="9" t="str">
        <f ca="1">+WORLDCUP!BD64</f>
        <v>Egypt</v>
      </c>
      <c r="E285" s="9" t="str">
        <f ca="1">+WORLDCUP!BD67</f>
        <v>Algeria</v>
      </c>
      <c r="F285" s="9" t="str">
        <f ca="1">+WORLDCUP!BD60</f>
        <v>Scotland</v>
      </c>
      <c r="G285" s="9" t="str">
        <f ca="1">+WORLDCUP!BD58</f>
        <v>South Korea</v>
      </c>
      <c r="H285" s="9" t="str">
        <f ca="1">+WORLDCUP!BD63</f>
        <v>Tunisia</v>
      </c>
      <c r="I285" s="9" t="str">
        <f ca="1">+WORLDCUP!BD61</f>
        <v>Australia</v>
      </c>
      <c r="J285" s="9" t="str">
        <f ca="1">+WORLDCUP!BD62</f>
        <v>Ivory Coast</v>
      </c>
      <c r="N285" s="16" t="s">
        <v>1076</v>
      </c>
      <c r="O285" s="16">
        <v>284</v>
      </c>
      <c r="P285" s="16" t="s">
        <v>118</v>
      </c>
      <c r="Q285" s="16" t="s">
        <v>113</v>
      </c>
      <c r="R285" s="16" t="s">
        <v>127</v>
      </c>
      <c r="S285" s="16" t="s">
        <v>95</v>
      </c>
      <c r="T285" s="16" t="s">
        <v>86</v>
      </c>
      <c r="U285" s="16" t="s">
        <v>109</v>
      </c>
      <c r="V285" s="16" t="s">
        <v>100</v>
      </c>
      <c r="W285" s="16" t="s">
        <v>104</v>
      </c>
    </row>
    <row r="286" spans="1:23">
      <c r="A286" s="9" t="s">
        <v>1077</v>
      </c>
      <c r="B286" s="9">
        <f ca="1">+IF(A286=WORLDCUP!$BI$112,1,0)</f>
        <v>0</v>
      </c>
      <c r="C286" s="9" t="str">
        <f ca="1">+WORLDCUP!BD65</f>
        <v>Saudi Arabia</v>
      </c>
      <c r="D286" s="9" t="str">
        <f ca="1">+WORLDCUP!BD64</f>
        <v>Egypt</v>
      </c>
      <c r="E286" s="9" t="str">
        <f ca="1">+WORLDCUP!BD62</f>
        <v>Ivory Coast</v>
      </c>
      <c r="F286" s="9" t="str">
        <f ca="1">+WORLDCUP!BD60</f>
        <v>Scotland</v>
      </c>
      <c r="G286" s="9" t="str">
        <f ca="1">+WORLDCUP!BD58</f>
        <v>South Korea</v>
      </c>
      <c r="H286" s="9" t="str">
        <f ca="1">+WORLDCUP!BD63</f>
        <v>Tunisia</v>
      </c>
      <c r="I286" s="9" t="str">
        <f ca="1">+WORLDCUP!BD61</f>
        <v>Australia</v>
      </c>
      <c r="J286" s="9" t="str">
        <f ca="1">+WORLDCUP!BD66</f>
        <v>Norway</v>
      </c>
      <c r="N286" s="16" t="s">
        <v>1077</v>
      </c>
      <c r="O286" s="16">
        <v>285</v>
      </c>
      <c r="P286" s="16" t="s">
        <v>118</v>
      </c>
      <c r="Q286" s="16" t="s">
        <v>113</v>
      </c>
      <c r="R286" s="16" t="s">
        <v>104</v>
      </c>
      <c r="S286" s="16" t="s">
        <v>95</v>
      </c>
      <c r="T286" s="16" t="s">
        <v>86</v>
      </c>
      <c r="U286" s="16" t="s">
        <v>109</v>
      </c>
      <c r="V286" s="16" t="s">
        <v>100</v>
      </c>
      <c r="W286" s="16" t="s">
        <v>122</v>
      </c>
    </row>
    <row r="287" spans="1:23">
      <c r="A287" s="9" t="s">
        <v>1078</v>
      </c>
      <c r="B287" s="9">
        <f ca="1">+IF(A287=WORLDCUP!$BI$112,1,0)</f>
        <v>0</v>
      </c>
      <c r="C287" s="9" t="str">
        <f ca="1">+WORLDCUP!BD65</f>
        <v>Saudi Arabia</v>
      </c>
      <c r="D287" s="9" t="str">
        <f ca="1">+WORLDCUP!BD67</f>
        <v>Algeria</v>
      </c>
      <c r="E287" s="9" t="str">
        <f ca="1">+WORLDCUP!BD59</f>
        <v>Switzerland</v>
      </c>
      <c r="F287" s="9" t="str">
        <f ca="1">+WORLDCUP!BD58</f>
        <v>South Korea</v>
      </c>
      <c r="G287" s="9" t="str">
        <f ca="1">+WORLDCUP!BD66</f>
        <v>Norway</v>
      </c>
      <c r="H287" s="9" t="str">
        <f ca="1">+WORLDCUP!BD64</f>
        <v>Egypt</v>
      </c>
      <c r="I287" s="9" t="str">
        <f ca="1">+WORLDCUP!BD69</f>
        <v>Croatia</v>
      </c>
      <c r="J287" s="9" t="str">
        <f ca="1">+WORLDCUP!BD68</f>
        <v>DR Congo</v>
      </c>
      <c r="N287" s="16" t="s">
        <v>1078</v>
      </c>
      <c r="O287" s="16">
        <v>286</v>
      </c>
      <c r="P287" s="16" t="s">
        <v>118</v>
      </c>
      <c r="Q287" s="16" t="s">
        <v>127</v>
      </c>
      <c r="R287" s="16" t="s">
        <v>91</v>
      </c>
      <c r="S287" s="16" t="s">
        <v>86</v>
      </c>
      <c r="T287" s="16" t="s">
        <v>122</v>
      </c>
      <c r="U287" s="16" t="s">
        <v>113</v>
      </c>
      <c r="V287" s="16" t="s">
        <v>136</v>
      </c>
      <c r="W287" s="16" t="s">
        <v>131</v>
      </c>
    </row>
    <row r="288" spans="1:23">
      <c r="A288" s="9" t="s">
        <v>1079</v>
      </c>
      <c r="B288" s="9">
        <f ca="1">+IF(A288=WORLDCUP!$BI$112,1,0)</f>
        <v>0</v>
      </c>
      <c r="C288" s="9" t="str">
        <f ca="1">+WORLDCUP!BD65</f>
        <v>Saudi Arabia</v>
      </c>
      <c r="D288" s="9" t="str">
        <f ca="1">+WORLDCUP!BD67</f>
        <v>Algeria</v>
      </c>
      <c r="E288" s="9" t="str">
        <f ca="1">+WORLDCUP!BD59</f>
        <v>Switzerland</v>
      </c>
      <c r="F288" s="9" t="str">
        <f ca="1">+WORLDCUP!BD58</f>
        <v>South Korea</v>
      </c>
      <c r="G288" s="9" t="str">
        <f ca="1">+WORLDCUP!BD66</f>
        <v>Norway</v>
      </c>
      <c r="H288" s="9" t="str">
        <f ca="1">+WORLDCUP!BD63</f>
        <v>Tunisia</v>
      </c>
      <c r="I288" s="9" t="str">
        <f ca="1">+WORLDCUP!BD69</f>
        <v>Croatia</v>
      </c>
      <c r="J288" s="9" t="str">
        <f ca="1">+WORLDCUP!BD68</f>
        <v>DR Congo</v>
      </c>
      <c r="N288" s="16" t="s">
        <v>1079</v>
      </c>
      <c r="O288" s="16">
        <v>287</v>
      </c>
      <c r="P288" s="16" t="s">
        <v>118</v>
      </c>
      <c r="Q288" s="16" t="s">
        <v>127</v>
      </c>
      <c r="R288" s="16" t="s">
        <v>91</v>
      </c>
      <c r="S288" s="16" t="s">
        <v>86</v>
      </c>
      <c r="T288" s="16" t="s">
        <v>122</v>
      </c>
      <c r="U288" s="16" t="s">
        <v>109</v>
      </c>
      <c r="V288" s="16" t="s">
        <v>136</v>
      </c>
      <c r="W288" s="16" t="s">
        <v>131</v>
      </c>
    </row>
    <row r="289" spans="1:23">
      <c r="A289" s="9" t="s">
        <v>1080</v>
      </c>
      <c r="B289" s="9">
        <f ca="1">+IF(A289=WORLDCUP!$BI$112,1,0)</f>
        <v>0</v>
      </c>
      <c r="C289" s="9" t="str">
        <f ca="1">+WORLDCUP!BD66</f>
        <v>Norway</v>
      </c>
      <c r="D289" s="9" t="str">
        <f ca="1">+WORLDCUP!BD67</f>
        <v>Algeria</v>
      </c>
      <c r="E289" s="9" t="str">
        <f ca="1">+WORLDCUP!BD59</f>
        <v>Switzerland</v>
      </c>
      <c r="F289" s="9" t="str">
        <f ca="1">+WORLDCUP!BD63</f>
        <v>Tunisia</v>
      </c>
      <c r="G289" s="9" t="str">
        <f ca="1">+WORLDCUP!BD58</f>
        <v>South Korea</v>
      </c>
      <c r="H289" s="9" t="str">
        <f ca="1">+WORLDCUP!BD64</f>
        <v>Egypt</v>
      </c>
      <c r="I289" s="9" t="str">
        <f ca="1">+WORLDCUP!BD69</f>
        <v>Croatia</v>
      </c>
      <c r="J289" s="9" t="str">
        <f ca="1">+WORLDCUP!BD68</f>
        <v>DR Congo</v>
      </c>
      <c r="N289" s="16" t="s">
        <v>1080</v>
      </c>
      <c r="O289" s="16">
        <v>288</v>
      </c>
      <c r="P289" s="16" t="s">
        <v>122</v>
      </c>
      <c r="Q289" s="16" t="s">
        <v>127</v>
      </c>
      <c r="R289" s="16" t="s">
        <v>91</v>
      </c>
      <c r="S289" s="16" t="s">
        <v>109</v>
      </c>
      <c r="T289" s="16" t="s">
        <v>86</v>
      </c>
      <c r="U289" s="16" t="s">
        <v>113</v>
      </c>
      <c r="V289" s="16" t="s">
        <v>136</v>
      </c>
      <c r="W289" s="16" t="s">
        <v>131</v>
      </c>
    </row>
    <row r="290" spans="1:23">
      <c r="A290" s="9" t="s">
        <v>1081</v>
      </c>
      <c r="B290" s="9">
        <f ca="1">+IF(A290=WORLDCUP!$BI$112,1,0)</f>
        <v>0</v>
      </c>
      <c r="C290" s="9" t="str">
        <f ca="1">+WORLDCUP!BD65</f>
        <v>Saudi Arabia</v>
      </c>
      <c r="D290" s="9" t="str">
        <f ca="1">+WORLDCUP!BD67</f>
        <v>Algeria</v>
      </c>
      <c r="E290" s="9" t="str">
        <f ca="1">+WORLDCUP!BD59</f>
        <v>Switzerland</v>
      </c>
      <c r="F290" s="9" t="str">
        <f ca="1">+WORLDCUP!BD63</f>
        <v>Tunisia</v>
      </c>
      <c r="G290" s="9" t="str">
        <f ca="1">+WORLDCUP!BD58</f>
        <v>South Korea</v>
      </c>
      <c r="H290" s="9" t="str">
        <f ca="1">+WORLDCUP!BD64</f>
        <v>Egypt</v>
      </c>
      <c r="I290" s="9" t="str">
        <f ca="1">+WORLDCUP!BD69</f>
        <v>Croatia</v>
      </c>
      <c r="J290" s="9" t="str">
        <f ca="1">+WORLDCUP!BD68</f>
        <v>DR Congo</v>
      </c>
      <c r="N290" s="16" t="s">
        <v>1081</v>
      </c>
      <c r="O290" s="16">
        <v>289</v>
      </c>
      <c r="P290" s="16" t="s">
        <v>118</v>
      </c>
      <c r="Q290" s="16" t="s">
        <v>127</v>
      </c>
      <c r="R290" s="16" t="s">
        <v>91</v>
      </c>
      <c r="S290" s="16" t="s">
        <v>109</v>
      </c>
      <c r="T290" s="16" t="s">
        <v>86</v>
      </c>
      <c r="U290" s="16" t="s">
        <v>113</v>
      </c>
      <c r="V290" s="16" t="s">
        <v>136</v>
      </c>
      <c r="W290" s="16" t="s">
        <v>131</v>
      </c>
    </row>
    <row r="291" spans="1:23">
      <c r="A291" s="9" t="s">
        <v>1082</v>
      </c>
      <c r="B291" s="9">
        <f ca="1">+IF(A291=WORLDCUP!$BI$112,1,0)</f>
        <v>0</v>
      </c>
      <c r="C291" s="9" t="str">
        <f ca="1">+WORLDCUP!BD65</f>
        <v>Saudi Arabia</v>
      </c>
      <c r="D291" s="9" t="str">
        <f ca="1">+WORLDCUP!BD64</f>
        <v>Egypt</v>
      </c>
      <c r="E291" s="9" t="str">
        <f ca="1">+WORLDCUP!BD59</f>
        <v>Switzerland</v>
      </c>
      <c r="F291" s="9" t="str">
        <f ca="1">+WORLDCUP!BD58</f>
        <v>South Korea</v>
      </c>
      <c r="G291" s="9" t="str">
        <f ca="1">+WORLDCUP!BD66</f>
        <v>Norway</v>
      </c>
      <c r="H291" s="9" t="str">
        <f ca="1">+WORLDCUP!BD63</f>
        <v>Tunisia</v>
      </c>
      <c r="I291" s="9" t="str">
        <f ca="1">+WORLDCUP!BD69</f>
        <v>Croatia</v>
      </c>
      <c r="J291" s="9" t="str">
        <f ca="1">+WORLDCUP!BD68</f>
        <v>DR Congo</v>
      </c>
      <c r="N291" s="16" t="s">
        <v>1082</v>
      </c>
      <c r="O291" s="16">
        <v>290</v>
      </c>
      <c r="P291" s="16" t="s">
        <v>118</v>
      </c>
      <c r="Q291" s="16" t="s">
        <v>113</v>
      </c>
      <c r="R291" s="16" t="s">
        <v>91</v>
      </c>
      <c r="S291" s="16" t="s">
        <v>86</v>
      </c>
      <c r="T291" s="16" t="s">
        <v>122</v>
      </c>
      <c r="U291" s="16" t="s">
        <v>109</v>
      </c>
      <c r="V291" s="16" t="s">
        <v>136</v>
      </c>
      <c r="W291" s="16" t="s">
        <v>131</v>
      </c>
    </row>
    <row r="292" spans="1:23">
      <c r="A292" s="9" t="s">
        <v>1083</v>
      </c>
      <c r="B292" s="9">
        <f ca="1">+IF(A292=WORLDCUP!$BI$112,1,0)</f>
        <v>0</v>
      </c>
      <c r="C292" s="9" t="str">
        <f ca="1">+WORLDCUP!BD65</f>
        <v>Saudi Arabia</v>
      </c>
      <c r="D292" s="9" t="str">
        <f ca="1">+WORLDCUP!BD67</f>
        <v>Algeria</v>
      </c>
      <c r="E292" s="9" t="str">
        <f ca="1">+WORLDCUP!BD59</f>
        <v>Switzerland</v>
      </c>
      <c r="F292" s="9" t="str">
        <f ca="1">+WORLDCUP!BD63</f>
        <v>Tunisia</v>
      </c>
      <c r="G292" s="9" t="str">
        <f ca="1">+WORLDCUP!BD58</f>
        <v>South Korea</v>
      </c>
      <c r="H292" s="9" t="str">
        <f ca="1">+WORLDCUP!BD64</f>
        <v>Egypt</v>
      </c>
      <c r="I292" s="9" t="str">
        <f ca="1">+WORLDCUP!BD69</f>
        <v>Croatia</v>
      </c>
      <c r="J292" s="9" t="str">
        <f ca="1">+WORLDCUP!BD66</f>
        <v>Norway</v>
      </c>
      <c r="N292" s="16" t="s">
        <v>1083</v>
      </c>
      <c r="O292" s="16">
        <v>291</v>
      </c>
      <c r="P292" s="16" t="s">
        <v>118</v>
      </c>
      <c r="Q292" s="16" t="s">
        <v>127</v>
      </c>
      <c r="R292" s="16" t="s">
        <v>91</v>
      </c>
      <c r="S292" s="16" t="s">
        <v>109</v>
      </c>
      <c r="T292" s="16" t="s">
        <v>86</v>
      </c>
      <c r="U292" s="16" t="s">
        <v>113</v>
      </c>
      <c r="V292" s="16" t="s">
        <v>136</v>
      </c>
      <c r="W292" s="16" t="s">
        <v>122</v>
      </c>
    </row>
    <row r="293" spans="1:23">
      <c r="A293" s="9" t="s">
        <v>1084</v>
      </c>
      <c r="B293" s="9">
        <f ca="1">+IF(A293=WORLDCUP!$BI$112,1,0)</f>
        <v>0</v>
      </c>
      <c r="C293" s="9" t="str">
        <f ca="1">+WORLDCUP!BD65</f>
        <v>Saudi Arabia</v>
      </c>
      <c r="D293" s="9" t="str">
        <f ca="1">+WORLDCUP!BD67</f>
        <v>Algeria</v>
      </c>
      <c r="E293" s="9" t="str">
        <f ca="1">+WORLDCUP!BD59</f>
        <v>Switzerland</v>
      </c>
      <c r="F293" s="9" t="str">
        <f ca="1">+WORLDCUP!BD63</f>
        <v>Tunisia</v>
      </c>
      <c r="G293" s="9" t="str">
        <f ca="1">+WORLDCUP!BD58</f>
        <v>South Korea</v>
      </c>
      <c r="H293" s="9" t="str">
        <f ca="1">+WORLDCUP!BD64</f>
        <v>Egypt</v>
      </c>
      <c r="I293" s="9" t="str">
        <f ca="1">+WORLDCUP!BD66</f>
        <v>Norway</v>
      </c>
      <c r="J293" s="9" t="str">
        <f ca="1">+WORLDCUP!BD68</f>
        <v>DR Congo</v>
      </c>
      <c r="N293" s="16" t="s">
        <v>1084</v>
      </c>
      <c r="O293" s="16">
        <v>292</v>
      </c>
      <c r="P293" s="16" t="s">
        <v>118</v>
      </c>
      <c r="Q293" s="16" t="s">
        <v>127</v>
      </c>
      <c r="R293" s="16" t="s">
        <v>91</v>
      </c>
      <c r="S293" s="16" t="s">
        <v>109</v>
      </c>
      <c r="T293" s="16" t="s">
        <v>86</v>
      </c>
      <c r="U293" s="16" t="s">
        <v>113</v>
      </c>
      <c r="V293" s="16" t="s">
        <v>122</v>
      </c>
      <c r="W293" s="16" t="s">
        <v>131</v>
      </c>
    </row>
    <row r="294" spans="1:23">
      <c r="A294" s="9" t="s">
        <v>1085</v>
      </c>
      <c r="B294" s="9">
        <f ca="1">+IF(A294=WORLDCUP!$BI$112,1,0)</f>
        <v>0</v>
      </c>
      <c r="C294" s="9" t="str">
        <f ca="1">+WORLDCUP!BD62</f>
        <v>Ivory Coast</v>
      </c>
      <c r="D294" s="9" t="str">
        <f ca="1">+WORLDCUP!BD67</f>
        <v>Algeria</v>
      </c>
      <c r="E294" s="9" t="str">
        <f ca="1">+WORLDCUP!BD59</f>
        <v>Switzerland</v>
      </c>
      <c r="F294" s="9" t="str">
        <f ca="1">+WORLDCUP!BD58</f>
        <v>South Korea</v>
      </c>
      <c r="G294" s="9" t="str">
        <f ca="1">+WORLDCUP!BD66</f>
        <v>Norway</v>
      </c>
      <c r="H294" s="9" t="str">
        <f ca="1">+WORLDCUP!BD65</f>
        <v>Saudi Arabia</v>
      </c>
      <c r="I294" s="9" t="str">
        <f ca="1">+WORLDCUP!BD69</f>
        <v>Croatia</v>
      </c>
      <c r="J294" s="9" t="str">
        <f ca="1">+WORLDCUP!BD68</f>
        <v>DR Congo</v>
      </c>
      <c r="N294" s="16" t="s">
        <v>1085</v>
      </c>
      <c r="O294" s="16">
        <v>293</v>
      </c>
      <c r="P294" s="16" t="s">
        <v>104</v>
      </c>
      <c r="Q294" s="16" t="s">
        <v>127</v>
      </c>
      <c r="R294" s="16" t="s">
        <v>91</v>
      </c>
      <c r="S294" s="16" t="s">
        <v>86</v>
      </c>
      <c r="T294" s="16" t="s">
        <v>122</v>
      </c>
      <c r="U294" s="16" t="s">
        <v>118</v>
      </c>
      <c r="V294" s="16" t="s">
        <v>136</v>
      </c>
      <c r="W294" s="16" t="s">
        <v>131</v>
      </c>
    </row>
    <row r="295" spans="1:23">
      <c r="A295" s="9" t="s">
        <v>1086</v>
      </c>
      <c r="B295" s="9">
        <f ca="1">+IF(A295=WORLDCUP!$BI$112,1,0)</f>
        <v>0</v>
      </c>
      <c r="C295" s="9" t="str">
        <f ca="1">+WORLDCUP!BD62</f>
        <v>Ivory Coast</v>
      </c>
      <c r="D295" s="9" t="str">
        <f ca="1">+WORLDCUP!BD67</f>
        <v>Algeria</v>
      </c>
      <c r="E295" s="9" t="str">
        <f ca="1">+WORLDCUP!BD59</f>
        <v>Switzerland</v>
      </c>
      <c r="F295" s="9" t="str">
        <f ca="1">+WORLDCUP!BD58</f>
        <v>South Korea</v>
      </c>
      <c r="G295" s="9" t="str">
        <f ca="1">+WORLDCUP!BD66</f>
        <v>Norway</v>
      </c>
      <c r="H295" s="9" t="str">
        <f ca="1">+WORLDCUP!BD64</f>
        <v>Egypt</v>
      </c>
      <c r="I295" s="9" t="str">
        <f ca="1">+WORLDCUP!BD69</f>
        <v>Croatia</v>
      </c>
      <c r="J295" s="9" t="str">
        <f ca="1">+WORLDCUP!BD68</f>
        <v>DR Congo</v>
      </c>
      <c r="N295" s="16" t="s">
        <v>1086</v>
      </c>
      <c r="O295" s="16">
        <v>294</v>
      </c>
      <c r="P295" s="16" t="s">
        <v>104</v>
      </c>
      <c r="Q295" s="16" t="s">
        <v>127</v>
      </c>
      <c r="R295" s="16" t="s">
        <v>91</v>
      </c>
      <c r="S295" s="16" t="s">
        <v>86</v>
      </c>
      <c r="T295" s="16" t="s">
        <v>122</v>
      </c>
      <c r="U295" s="16" t="s">
        <v>113</v>
      </c>
      <c r="V295" s="16" t="s">
        <v>136</v>
      </c>
      <c r="W295" s="16" t="s">
        <v>131</v>
      </c>
    </row>
    <row r="296" spans="1:23">
      <c r="A296" s="9" t="s">
        <v>1087</v>
      </c>
      <c r="B296" s="9">
        <f ca="1">+IF(A296=WORLDCUP!$BI$112,1,0)</f>
        <v>0</v>
      </c>
      <c r="C296" s="9" t="str">
        <f ca="1">+WORLDCUP!BD62</f>
        <v>Ivory Coast</v>
      </c>
      <c r="D296" s="9" t="str">
        <f ca="1">+WORLDCUP!BD67</f>
        <v>Algeria</v>
      </c>
      <c r="E296" s="9" t="str">
        <f ca="1">+WORLDCUP!BD59</f>
        <v>Switzerland</v>
      </c>
      <c r="F296" s="9" t="str">
        <f ca="1">+WORLDCUP!BD58</f>
        <v>South Korea</v>
      </c>
      <c r="G296" s="9" t="str">
        <f ca="1">+WORLDCUP!BD65</f>
        <v>Saudi Arabia</v>
      </c>
      <c r="H296" s="9" t="str">
        <f ca="1">+WORLDCUP!BD64</f>
        <v>Egypt</v>
      </c>
      <c r="I296" s="9" t="str">
        <f ca="1">+WORLDCUP!BD69</f>
        <v>Croatia</v>
      </c>
      <c r="J296" s="9" t="str">
        <f ca="1">+WORLDCUP!BD68</f>
        <v>DR Congo</v>
      </c>
      <c r="N296" s="16" t="s">
        <v>1087</v>
      </c>
      <c r="O296" s="16">
        <v>295</v>
      </c>
      <c r="P296" s="16" t="s">
        <v>104</v>
      </c>
      <c r="Q296" s="16" t="s">
        <v>127</v>
      </c>
      <c r="R296" s="16" t="s">
        <v>91</v>
      </c>
      <c r="S296" s="16" t="s">
        <v>86</v>
      </c>
      <c r="T296" s="16" t="s">
        <v>118</v>
      </c>
      <c r="U296" s="16" t="s">
        <v>113</v>
      </c>
      <c r="V296" s="16" t="s">
        <v>136</v>
      </c>
      <c r="W296" s="16" t="s">
        <v>131</v>
      </c>
    </row>
    <row r="297" spans="1:23">
      <c r="A297" s="9" t="s">
        <v>1088</v>
      </c>
      <c r="B297" s="9">
        <f ca="1">+IF(A297=WORLDCUP!$BI$112,1,0)</f>
        <v>0</v>
      </c>
      <c r="C297" s="9" t="str">
        <f ca="1">+WORLDCUP!BD62</f>
        <v>Ivory Coast</v>
      </c>
      <c r="D297" s="9" t="str">
        <f ca="1">+WORLDCUP!BD64</f>
        <v>Egypt</v>
      </c>
      <c r="E297" s="9" t="str">
        <f ca="1">+WORLDCUP!BD59</f>
        <v>Switzerland</v>
      </c>
      <c r="F297" s="9" t="str">
        <f ca="1">+WORLDCUP!BD58</f>
        <v>South Korea</v>
      </c>
      <c r="G297" s="9" t="str">
        <f ca="1">+WORLDCUP!BD66</f>
        <v>Norway</v>
      </c>
      <c r="H297" s="9" t="str">
        <f ca="1">+WORLDCUP!BD65</f>
        <v>Saudi Arabia</v>
      </c>
      <c r="I297" s="9" t="str">
        <f ca="1">+WORLDCUP!BD69</f>
        <v>Croatia</v>
      </c>
      <c r="J297" s="9" t="str">
        <f ca="1">+WORLDCUP!BD68</f>
        <v>DR Congo</v>
      </c>
      <c r="N297" s="16" t="s">
        <v>1088</v>
      </c>
      <c r="O297" s="16">
        <v>296</v>
      </c>
      <c r="P297" s="16" t="s">
        <v>104</v>
      </c>
      <c r="Q297" s="16" t="s">
        <v>113</v>
      </c>
      <c r="R297" s="16" t="s">
        <v>91</v>
      </c>
      <c r="S297" s="16" t="s">
        <v>86</v>
      </c>
      <c r="T297" s="16" t="s">
        <v>122</v>
      </c>
      <c r="U297" s="16" t="s">
        <v>118</v>
      </c>
      <c r="V297" s="16" t="s">
        <v>136</v>
      </c>
      <c r="W297" s="16" t="s">
        <v>131</v>
      </c>
    </row>
    <row r="298" spans="1:23">
      <c r="A298" s="9" t="s">
        <v>1089</v>
      </c>
      <c r="B298" s="9">
        <f ca="1">+IF(A298=WORLDCUP!$BI$112,1,0)</f>
        <v>0</v>
      </c>
      <c r="C298" s="9" t="str">
        <f ca="1">+WORLDCUP!BD62</f>
        <v>Ivory Coast</v>
      </c>
      <c r="D298" s="9" t="str">
        <f ca="1">+WORLDCUP!BD67</f>
        <v>Algeria</v>
      </c>
      <c r="E298" s="9" t="str">
        <f ca="1">+WORLDCUP!BD59</f>
        <v>Switzerland</v>
      </c>
      <c r="F298" s="9" t="str">
        <f ca="1">+WORLDCUP!BD58</f>
        <v>South Korea</v>
      </c>
      <c r="G298" s="9" t="str">
        <f ca="1">+WORLDCUP!BD65</f>
        <v>Saudi Arabia</v>
      </c>
      <c r="H298" s="9" t="str">
        <f ca="1">+WORLDCUP!BD64</f>
        <v>Egypt</v>
      </c>
      <c r="I298" s="9" t="str">
        <f ca="1">+WORLDCUP!BD69</f>
        <v>Croatia</v>
      </c>
      <c r="J298" s="9" t="str">
        <f ca="1">+WORLDCUP!BD66</f>
        <v>Norway</v>
      </c>
      <c r="N298" s="16" t="s">
        <v>1089</v>
      </c>
      <c r="O298" s="16">
        <v>297</v>
      </c>
      <c r="P298" s="16" t="s">
        <v>104</v>
      </c>
      <c r="Q298" s="16" t="s">
        <v>127</v>
      </c>
      <c r="R298" s="16" t="s">
        <v>91</v>
      </c>
      <c r="S298" s="16" t="s">
        <v>86</v>
      </c>
      <c r="T298" s="16" t="s">
        <v>118</v>
      </c>
      <c r="U298" s="16" t="s">
        <v>113</v>
      </c>
      <c r="V298" s="16" t="s">
        <v>136</v>
      </c>
      <c r="W298" s="16" t="s">
        <v>122</v>
      </c>
    </row>
    <row r="299" spans="1:23">
      <c r="A299" s="9" t="s">
        <v>1090</v>
      </c>
      <c r="B299" s="9">
        <f ca="1">+IF(A299=WORLDCUP!$BI$112,1,0)</f>
        <v>0</v>
      </c>
      <c r="C299" s="9" t="str">
        <f ca="1">+WORLDCUP!BD62</f>
        <v>Ivory Coast</v>
      </c>
      <c r="D299" s="9" t="str">
        <f ca="1">+WORLDCUP!BD67</f>
        <v>Algeria</v>
      </c>
      <c r="E299" s="9" t="str">
        <f ca="1">+WORLDCUP!BD59</f>
        <v>Switzerland</v>
      </c>
      <c r="F299" s="9" t="str">
        <f ca="1">+WORLDCUP!BD58</f>
        <v>South Korea</v>
      </c>
      <c r="G299" s="9" t="str">
        <f ca="1">+WORLDCUP!BD65</f>
        <v>Saudi Arabia</v>
      </c>
      <c r="H299" s="9" t="str">
        <f ca="1">+WORLDCUP!BD64</f>
        <v>Egypt</v>
      </c>
      <c r="I299" s="9" t="str">
        <f ca="1">+WORLDCUP!BD66</f>
        <v>Norway</v>
      </c>
      <c r="J299" s="9" t="str">
        <f ca="1">+WORLDCUP!BD68</f>
        <v>DR Congo</v>
      </c>
      <c r="N299" s="16" t="s">
        <v>1090</v>
      </c>
      <c r="O299" s="16">
        <v>298</v>
      </c>
      <c r="P299" s="16" t="s">
        <v>104</v>
      </c>
      <c r="Q299" s="16" t="s">
        <v>127</v>
      </c>
      <c r="R299" s="16" t="s">
        <v>91</v>
      </c>
      <c r="S299" s="16" t="s">
        <v>86</v>
      </c>
      <c r="T299" s="16" t="s">
        <v>118</v>
      </c>
      <c r="U299" s="16" t="s">
        <v>113</v>
      </c>
      <c r="V299" s="16" t="s">
        <v>122</v>
      </c>
      <c r="W299" s="16" t="s">
        <v>131</v>
      </c>
    </row>
    <row r="300" spans="1:23">
      <c r="A300" s="9" t="s">
        <v>1091</v>
      </c>
      <c r="B300" s="9">
        <f ca="1">+IF(A300=WORLDCUP!$BI$112,1,0)</f>
        <v>0</v>
      </c>
      <c r="C300" s="9" t="str">
        <f ca="1">+WORLDCUP!BD62</f>
        <v>Ivory Coast</v>
      </c>
      <c r="D300" s="9" t="str">
        <f ca="1">+WORLDCUP!BD67</f>
        <v>Algeria</v>
      </c>
      <c r="E300" s="9" t="str">
        <f ca="1">+WORLDCUP!BD59</f>
        <v>Switzerland</v>
      </c>
      <c r="F300" s="9" t="str">
        <f ca="1">+WORLDCUP!BD58</f>
        <v>South Korea</v>
      </c>
      <c r="G300" s="9" t="str">
        <f ca="1">+WORLDCUP!BD66</f>
        <v>Norway</v>
      </c>
      <c r="H300" s="9" t="str">
        <f ca="1">+WORLDCUP!BD63</f>
        <v>Tunisia</v>
      </c>
      <c r="I300" s="9" t="str">
        <f ca="1">+WORLDCUP!BD69</f>
        <v>Croatia</v>
      </c>
      <c r="J300" s="9" t="str">
        <f ca="1">+WORLDCUP!BD68</f>
        <v>DR Congo</v>
      </c>
      <c r="N300" s="16" t="s">
        <v>1091</v>
      </c>
      <c r="O300" s="16">
        <v>299</v>
      </c>
      <c r="P300" s="16" t="s">
        <v>104</v>
      </c>
      <c r="Q300" s="16" t="s">
        <v>127</v>
      </c>
      <c r="R300" s="16" t="s">
        <v>91</v>
      </c>
      <c r="S300" s="16" t="s">
        <v>86</v>
      </c>
      <c r="T300" s="16" t="s">
        <v>122</v>
      </c>
      <c r="U300" s="16" t="s">
        <v>109</v>
      </c>
      <c r="V300" s="16" t="s">
        <v>136</v>
      </c>
      <c r="W300" s="16" t="s">
        <v>131</v>
      </c>
    </row>
    <row r="301" spans="1:23">
      <c r="A301" s="9" t="s">
        <v>1092</v>
      </c>
      <c r="B301" s="9">
        <f ca="1">+IF(A301=WORLDCUP!$BI$112,1,0)</f>
        <v>0</v>
      </c>
      <c r="C301" s="9" t="str">
        <f ca="1">+WORLDCUP!BD62</f>
        <v>Ivory Coast</v>
      </c>
      <c r="D301" s="9" t="str">
        <f ca="1">+WORLDCUP!BD67</f>
        <v>Algeria</v>
      </c>
      <c r="E301" s="9" t="str">
        <f ca="1">+WORLDCUP!BD59</f>
        <v>Switzerland</v>
      </c>
      <c r="F301" s="9" t="str">
        <f ca="1">+WORLDCUP!BD63</f>
        <v>Tunisia</v>
      </c>
      <c r="G301" s="9" t="str">
        <f ca="1">+WORLDCUP!BD58</f>
        <v>South Korea</v>
      </c>
      <c r="H301" s="9" t="str">
        <f ca="1">+WORLDCUP!BD65</f>
        <v>Saudi Arabia</v>
      </c>
      <c r="I301" s="9" t="str">
        <f ca="1">+WORLDCUP!BD69</f>
        <v>Croatia</v>
      </c>
      <c r="J301" s="9" t="str">
        <f ca="1">+WORLDCUP!BD68</f>
        <v>DR Congo</v>
      </c>
      <c r="N301" s="16" t="s">
        <v>1092</v>
      </c>
      <c r="O301" s="16">
        <v>300</v>
      </c>
      <c r="P301" s="16" t="s">
        <v>104</v>
      </c>
      <c r="Q301" s="16" t="s">
        <v>127</v>
      </c>
      <c r="R301" s="16" t="s">
        <v>91</v>
      </c>
      <c r="S301" s="16" t="s">
        <v>109</v>
      </c>
      <c r="T301" s="16" t="s">
        <v>86</v>
      </c>
      <c r="U301" s="16" t="s">
        <v>118</v>
      </c>
      <c r="V301" s="16" t="s">
        <v>136</v>
      </c>
      <c r="W301" s="16" t="s">
        <v>131</v>
      </c>
    </row>
    <row r="302" spans="1:23">
      <c r="A302" s="9" t="s">
        <v>1093</v>
      </c>
      <c r="B302" s="9">
        <f ca="1">+IF(A302=WORLDCUP!$BI$112,1,0)</f>
        <v>0</v>
      </c>
      <c r="C302" s="9" t="str">
        <f ca="1">+WORLDCUP!BD62</f>
        <v>Ivory Coast</v>
      </c>
      <c r="D302" s="9" t="str">
        <f ca="1">+WORLDCUP!BD66</f>
        <v>Norway</v>
      </c>
      <c r="E302" s="9" t="str">
        <f ca="1">+WORLDCUP!BD59</f>
        <v>Switzerland</v>
      </c>
      <c r="F302" s="9" t="str">
        <f ca="1">+WORLDCUP!BD63</f>
        <v>Tunisia</v>
      </c>
      <c r="G302" s="9" t="str">
        <f ca="1">+WORLDCUP!BD58</f>
        <v>South Korea</v>
      </c>
      <c r="H302" s="9" t="str">
        <f ca="1">+WORLDCUP!BD65</f>
        <v>Saudi Arabia</v>
      </c>
      <c r="I302" s="9" t="str">
        <f ca="1">+WORLDCUP!BD69</f>
        <v>Croatia</v>
      </c>
      <c r="J302" s="9" t="str">
        <f ca="1">+WORLDCUP!BD68</f>
        <v>DR Congo</v>
      </c>
      <c r="N302" s="16" t="s">
        <v>1093</v>
      </c>
      <c r="O302" s="16">
        <v>301</v>
      </c>
      <c r="P302" s="16" t="s">
        <v>104</v>
      </c>
      <c r="Q302" s="16" t="s">
        <v>122</v>
      </c>
      <c r="R302" s="16" t="s">
        <v>91</v>
      </c>
      <c r="S302" s="16" t="s">
        <v>109</v>
      </c>
      <c r="T302" s="16" t="s">
        <v>86</v>
      </c>
      <c r="U302" s="16" t="s">
        <v>118</v>
      </c>
      <c r="V302" s="16" t="s">
        <v>136</v>
      </c>
      <c r="W302" s="16" t="s">
        <v>131</v>
      </c>
    </row>
    <row r="303" spans="1:23">
      <c r="A303" s="9" t="s">
        <v>1094</v>
      </c>
      <c r="B303" s="9">
        <f ca="1">+IF(A303=WORLDCUP!$BI$112,1,0)</f>
        <v>0</v>
      </c>
      <c r="C303" s="9" t="str">
        <f ca="1">+WORLDCUP!BD62</f>
        <v>Ivory Coast</v>
      </c>
      <c r="D303" s="9" t="str">
        <f ca="1">+WORLDCUP!BD67</f>
        <v>Algeria</v>
      </c>
      <c r="E303" s="9" t="str">
        <f ca="1">+WORLDCUP!BD59</f>
        <v>Switzerland</v>
      </c>
      <c r="F303" s="9" t="str">
        <f ca="1">+WORLDCUP!BD63</f>
        <v>Tunisia</v>
      </c>
      <c r="G303" s="9" t="str">
        <f ca="1">+WORLDCUP!BD58</f>
        <v>South Korea</v>
      </c>
      <c r="H303" s="9" t="str">
        <f ca="1">+WORLDCUP!BD65</f>
        <v>Saudi Arabia</v>
      </c>
      <c r="I303" s="9" t="str">
        <f ca="1">+WORLDCUP!BD69</f>
        <v>Croatia</v>
      </c>
      <c r="J303" s="9" t="str">
        <f ca="1">+WORLDCUP!BD66</f>
        <v>Norway</v>
      </c>
      <c r="N303" s="16" t="s">
        <v>1094</v>
      </c>
      <c r="O303" s="16">
        <v>302</v>
      </c>
      <c r="P303" s="16" t="s">
        <v>104</v>
      </c>
      <c r="Q303" s="16" t="s">
        <v>127</v>
      </c>
      <c r="R303" s="16" t="s">
        <v>91</v>
      </c>
      <c r="S303" s="16" t="s">
        <v>109</v>
      </c>
      <c r="T303" s="16" t="s">
        <v>86</v>
      </c>
      <c r="U303" s="16" t="s">
        <v>118</v>
      </c>
      <c r="V303" s="16" t="s">
        <v>136</v>
      </c>
      <c r="W303" s="16" t="s">
        <v>122</v>
      </c>
    </row>
    <row r="304" spans="1:23">
      <c r="A304" s="9" t="s">
        <v>1095</v>
      </c>
      <c r="B304" s="9">
        <f ca="1">+IF(A304=WORLDCUP!$BI$112,1,0)</f>
        <v>0</v>
      </c>
      <c r="C304" s="9" t="str">
        <f ca="1">+WORLDCUP!BD62</f>
        <v>Ivory Coast</v>
      </c>
      <c r="D304" s="9" t="str">
        <f ca="1">+WORLDCUP!BD67</f>
        <v>Algeria</v>
      </c>
      <c r="E304" s="9" t="str">
        <f ca="1">+WORLDCUP!BD59</f>
        <v>Switzerland</v>
      </c>
      <c r="F304" s="9" t="str">
        <f ca="1">+WORLDCUP!BD63</f>
        <v>Tunisia</v>
      </c>
      <c r="G304" s="9" t="str">
        <f ca="1">+WORLDCUP!BD58</f>
        <v>South Korea</v>
      </c>
      <c r="H304" s="9" t="str">
        <f ca="1">+WORLDCUP!BD65</f>
        <v>Saudi Arabia</v>
      </c>
      <c r="I304" s="9" t="str">
        <f ca="1">+WORLDCUP!BD66</f>
        <v>Norway</v>
      </c>
      <c r="J304" s="9" t="str">
        <f ca="1">+WORLDCUP!BD68</f>
        <v>DR Congo</v>
      </c>
      <c r="N304" s="16" t="s">
        <v>1095</v>
      </c>
      <c r="O304" s="16">
        <v>303</v>
      </c>
      <c r="P304" s="16" t="s">
        <v>104</v>
      </c>
      <c r="Q304" s="16" t="s">
        <v>127</v>
      </c>
      <c r="R304" s="16" t="s">
        <v>91</v>
      </c>
      <c r="S304" s="16" t="s">
        <v>109</v>
      </c>
      <c r="T304" s="16" t="s">
        <v>86</v>
      </c>
      <c r="U304" s="16" t="s">
        <v>118</v>
      </c>
      <c r="V304" s="16" t="s">
        <v>122</v>
      </c>
      <c r="W304" s="16" t="s">
        <v>131</v>
      </c>
    </row>
    <row r="305" spans="1:23">
      <c r="A305" s="9" t="s">
        <v>1096</v>
      </c>
      <c r="B305" s="9">
        <f ca="1">+IF(A305=WORLDCUP!$BI$112,1,0)</f>
        <v>0</v>
      </c>
      <c r="C305" s="9" t="str">
        <f ca="1">+WORLDCUP!BD62</f>
        <v>Ivory Coast</v>
      </c>
      <c r="D305" s="9" t="str">
        <f ca="1">+WORLDCUP!BD67</f>
        <v>Algeria</v>
      </c>
      <c r="E305" s="9" t="str">
        <f ca="1">+WORLDCUP!BD59</f>
        <v>Switzerland</v>
      </c>
      <c r="F305" s="9" t="str">
        <f ca="1">+WORLDCUP!BD63</f>
        <v>Tunisia</v>
      </c>
      <c r="G305" s="9" t="str">
        <f ca="1">+WORLDCUP!BD58</f>
        <v>South Korea</v>
      </c>
      <c r="H305" s="9" t="str">
        <f ca="1">+WORLDCUP!BD64</f>
        <v>Egypt</v>
      </c>
      <c r="I305" s="9" t="str">
        <f ca="1">+WORLDCUP!BD69</f>
        <v>Croatia</v>
      </c>
      <c r="J305" s="9" t="str">
        <f ca="1">+WORLDCUP!BD68</f>
        <v>DR Congo</v>
      </c>
      <c r="N305" s="16" t="s">
        <v>1096</v>
      </c>
      <c r="O305" s="16">
        <v>304</v>
      </c>
      <c r="P305" s="16" t="s">
        <v>104</v>
      </c>
      <c r="Q305" s="16" t="s">
        <v>127</v>
      </c>
      <c r="R305" s="16" t="s">
        <v>91</v>
      </c>
      <c r="S305" s="16" t="s">
        <v>109</v>
      </c>
      <c r="T305" s="16" t="s">
        <v>86</v>
      </c>
      <c r="U305" s="16" t="s">
        <v>113</v>
      </c>
      <c r="V305" s="16" t="s">
        <v>136</v>
      </c>
      <c r="W305" s="16" t="s">
        <v>131</v>
      </c>
    </row>
    <row r="306" spans="1:23">
      <c r="A306" s="9" t="s">
        <v>1097</v>
      </c>
      <c r="B306" s="9">
        <f ca="1">+IF(A306=WORLDCUP!$BI$112,1,0)</f>
        <v>0</v>
      </c>
      <c r="C306" s="9" t="str">
        <f ca="1">+WORLDCUP!BD62</f>
        <v>Ivory Coast</v>
      </c>
      <c r="D306" s="9" t="str">
        <f ca="1">+WORLDCUP!BD64</f>
        <v>Egypt</v>
      </c>
      <c r="E306" s="9" t="str">
        <f ca="1">+WORLDCUP!BD59</f>
        <v>Switzerland</v>
      </c>
      <c r="F306" s="9" t="str">
        <f ca="1">+WORLDCUP!BD58</f>
        <v>South Korea</v>
      </c>
      <c r="G306" s="9" t="str">
        <f ca="1">+WORLDCUP!BD66</f>
        <v>Norway</v>
      </c>
      <c r="H306" s="9" t="str">
        <f ca="1">+WORLDCUP!BD63</f>
        <v>Tunisia</v>
      </c>
      <c r="I306" s="9" t="str">
        <f ca="1">+WORLDCUP!BD69</f>
        <v>Croatia</v>
      </c>
      <c r="J306" s="9" t="str">
        <f ca="1">+WORLDCUP!BD68</f>
        <v>DR Congo</v>
      </c>
      <c r="N306" s="16" t="s">
        <v>1097</v>
      </c>
      <c r="O306" s="16">
        <v>305</v>
      </c>
      <c r="P306" s="16" t="s">
        <v>104</v>
      </c>
      <c r="Q306" s="16" t="s">
        <v>113</v>
      </c>
      <c r="R306" s="16" t="s">
        <v>91</v>
      </c>
      <c r="S306" s="16" t="s">
        <v>86</v>
      </c>
      <c r="T306" s="16" t="s">
        <v>122</v>
      </c>
      <c r="U306" s="16" t="s">
        <v>109</v>
      </c>
      <c r="V306" s="16" t="s">
        <v>136</v>
      </c>
      <c r="W306" s="16" t="s">
        <v>131</v>
      </c>
    </row>
    <row r="307" spans="1:23">
      <c r="A307" s="9" t="s">
        <v>1098</v>
      </c>
      <c r="B307" s="9">
        <f ca="1">+IF(A307=WORLDCUP!$BI$112,1,0)</f>
        <v>0</v>
      </c>
      <c r="C307" s="9" t="str">
        <f ca="1">+WORLDCUP!BD62</f>
        <v>Ivory Coast</v>
      </c>
      <c r="D307" s="9" t="str">
        <f ca="1">+WORLDCUP!BD67</f>
        <v>Algeria</v>
      </c>
      <c r="E307" s="9" t="str">
        <f ca="1">+WORLDCUP!BD59</f>
        <v>Switzerland</v>
      </c>
      <c r="F307" s="9" t="str">
        <f ca="1">+WORLDCUP!BD63</f>
        <v>Tunisia</v>
      </c>
      <c r="G307" s="9" t="str">
        <f ca="1">+WORLDCUP!BD58</f>
        <v>South Korea</v>
      </c>
      <c r="H307" s="9" t="str">
        <f ca="1">+WORLDCUP!BD64</f>
        <v>Egypt</v>
      </c>
      <c r="I307" s="9" t="str">
        <f ca="1">+WORLDCUP!BD69</f>
        <v>Croatia</v>
      </c>
      <c r="J307" s="9" t="str">
        <f ca="1">+WORLDCUP!BD66</f>
        <v>Norway</v>
      </c>
      <c r="N307" s="16" t="s">
        <v>1098</v>
      </c>
      <c r="O307" s="16">
        <v>306</v>
      </c>
      <c r="P307" s="16" t="s">
        <v>104</v>
      </c>
      <c r="Q307" s="16" t="s">
        <v>127</v>
      </c>
      <c r="R307" s="16" t="s">
        <v>91</v>
      </c>
      <c r="S307" s="16" t="s">
        <v>109</v>
      </c>
      <c r="T307" s="16" t="s">
        <v>86</v>
      </c>
      <c r="U307" s="16" t="s">
        <v>113</v>
      </c>
      <c r="V307" s="16" t="s">
        <v>136</v>
      </c>
      <c r="W307" s="16" t="s">
        <v>122</v>
      </c>
    </row>
    <row r="308" spans="1:23">
      <c r="A308" s="9" t="s">
        <v>1099</v>
      </c>
      <c r="B308" s="9">
        <f ca="1">+IF(A308=WORLDCUP!$BI$112,1,0)</f>
        <v>0</v>
      </c>
      <c r="C308" s="9" t="str">
        <f ca="1">+WORLDCUP!BD62</f>
        <v>Ivory Coast</v>
      </c>
      <c r="D308" s="9" t="str">
        <f ca="1">+WORLDCUP!BD67</f>
        <v>Algeria</v>
      </c>
      <c r="E308" s="9" t="str">
        <f ca="1">+WORLDCUP!BD59</f>
        <v>Switzerland</v>
      </c>
      <c r="F308" s="9" t="str">
        <f ca="1">+WORLDCUP!BD63</f>
        <v>Tunisia</v>
      </c>
      <c r="G308" s="9" t="str">
        <f ca="1">+WORLDCUP!BD58</f>
        <v>South Korea</v>
      </c>
      <c r="H308" s="9" t="str">
        <f ca="1">+WORLDCUP!BD64</f>
        <v>Egypt</v>
      </c>
      <c r="I308" s="9" t="str">
        <f ca="1">+WORLDCUP!BD66</f>
        <v>Norway</v>
      </c>
      <c r="J308" s="9" t="str">
        <f ca="1">+WORLDCUP!BD68</f>
        <v>DR Congo</v>
      </c>
      <c r="N308" s="16" t="s">
        <v>1099</v>
      </c>
      <c r="O308" s="16">
        <v>307</v>
      </c>
      <c r="P308" s="16" t="s">
        <v>104</v>
      </c>
      <c r="Q308" s="16" t="s">
        <v>127</v>
      </c>
      <c r="R308" s="16" t="s">
        <v>91</v>
      </c>
      <c r="S308" s="16" t="s">
        <v>109</v>
      </c>
      <c r="T308" s="16" t="s">
        <v>86</v>
      </c>
      <c r="U308" s="16" t="s">
        <v>113</v>
      </c>
      <c r="V308" s="16" t="s">
        <v>122</v>
      </c>
      <c r="W308" s="16" t="s">
        <v>131</v>
      </c>
    </row>
    <row r="309" spans="1:23">
      <c r="A309" s="9" t="s">
        <v>1100</v>
      </c>
      <c r="B309" s="9">
        <f ca="1">+IF(A309=WORLDCUP!$BI$112,1,0)</f>
        <v>0</v>
      </c>
      <c r="C309" s="9" t="str">
        <f ca="1">+WORLDCUP!BD62</f>
        <v>Ivory Coast</v>
      </c>
      <c r="D309" s="9" t="str">
        <f ca="1">+WORLDCUP!BD64</f>
        <v>Egypt</v>
      </c>
      <c r="E309" s="9" t="str">
        <f ca="1">+WORLDCUP!BD59</f>
        <v>Switzerland</v>
      </c>
      <c r="F309" s="9" t="str">
        <f ca="1">+WORLDCUP!BD63</f>
        <v>Tunisia</v>
      </c>
      <c r="G309" s="9" t="str">
        <f ca="1">+WORLDCUP!BD58</f>
        <v>South Korea</v>
      </c>
      <c r="H309" s="9" t="str">
        <f ca="1">+WORLDCUP!BD65</f>
        <v>Saudi Arabia</v>
      </c>
      <c r="I309" s="9" t="str">
        <f ca="1">+WORLDCUP!BD69</f>
        <v>Croatia</v>
      </c>
      <c r="J309" s="9" t="str">
        <f ca="1">+WORLDCUP!BD68</f>
        <v>DR Congo</v>
      </c>
      <c r="N309" s="16" t="s">
        <v>1100</v>
      </c>
      <c r="O309" s="16">
        <v>308</v>
      </c>
      <c r="P309" s="16" t="s">
        <v>104</v>
      </c>
      <c r="Q309" s="16" t="s">
        <v>113</v>
      </c>
      <c r="R309" s="16" t="s">
        <v>91</v>
      </c>
      <c r="S309" s="16" t="s">
        <v>109</v>
      </c>
      <c r="T309" s="16" t="s">
        <v>86</v>
      </c>
      <c r="U309" s="16" t="s">
        <v>118</v>
      </c>
      <c r="V309" s="16" t="s">
        <v>136</v>
      </c>
      <c r="W309" s="16" t="s">
        <v>131</v>
      </c>
    </row>
    <row r="310" spans="1:23">
      <c r="A310" s="9" t="s">
        <v>1101</v>
      </c>
      <c r="B310" s="9">
        <f ca="1">+IF(A310=WORLDCUP!$BI$112,1,0)</f>
        <v>0</v>
      </c>
      <c r="C310" s="9" t="str">
        <f ca="1">+WORLDCUP!BD65</f>
        <v>Saudi Arabia</v>
      </c>
      <c r="D310" s="9" t="str">
        <f ca="1">+WORLDCUP!BD67</f>
        <v>Algeria</v>
      </c>
      <c r="E310" s="9" t="str">
        <f ca="1">+WORLDCUP!BD59</f>
        <v>Switzerland</v>
      </c>
      <c r="F310" s="9" t="str">
        <f ca="1">+WORLDCUP!BD63</f>
        <v>Tunisia</v>
      </c>
      <c r="G310" s="9" t="str">
        <f ca="1">+WORLDCUP!BD58</f>
        <v>South Korea</v>
      </c>
      <c r="H310" s="9" t="str">
        <f ca="1">+WORLDCUP!BD64</f>
        <v>Egypt</v>
      </c>
      <c r="I310" s="9" t="str">
        <f ca="1">+WORLDCUP!BD69</f>
        <v>Croatia</v>
      </c>
      <c r="J310" s="9" t="str">
        <f ca="1">+WORLDCUP!BD62</f>
        <v>Ivory Coast</v>
      </c>
      <c r="N310" s="16" t="s">
        <v>1101</v>
      </c>
      <c r="O310" s="16">
        <v>309</v>
      </c>
      <c r="P310" s="16" t="s">
        <v>118</v>
      </c>
      <c r="Q310" s="16" t="s">
        <v>127</v>
      </c>
      <c r="R310" s="16" t="s">
        <v>91</v>
      </c>
      <c r="S310" s="16" t="s">
        <v>109</v>
      </c>
      <c r="T310" s="16" t="s">
        <v>86</v>
      </c>
      <c r="U310" s="16" t="s">
        <v>113</v>
      </c>
      <c r="V310" s="16" t="s">
        <v>136</v>
      </c>
      <c r="W310" s="16" t="s">
        <v>104</v>
      </c>
    </row>
    <row r="311" spans="1:23">
      <c r="A311" s="9" t="s">
        <v>1102</v>
      </c>
      <c r="B311" s="9">
        <f ca="1">+IF(A311=WORLDCUP!$BI$112,1,0)</f>
        <v>0</v>
      </c>
      <c r="C311" s="9" t="str">
        <f ca="1">+WORLDCUP!BD65</f>
        <v>Saudi Arabia</v>
      </c>
      <c r="D311" s="9" t="str">
        <f ca="1">+WORLDCUP!BD67</f>
        <v>Algeria</v>
      </c>
      <c r="E311" s="9" t="str">
        <f ca="1">+WORLDCUP!BD59</f>
        <v>Switzerland</v>
      </c>
      <c r="F311" s="9" t="str">
        <f ca="1">+WORLDCUP!BD63</f>
        <v>Tunisia</v>
      </c>
      <c r="G311" s="9" t="str">
        <f ca="1">+WORLDCUP!BD58</f>
        <v>South Korea</v>
      </c>
      <c r="H311" s="9" t="str">
        <f ca="1">+WORLDCUP!BD64</f>
        <v>Egypt</v>
      </c>
      <c r="I311" s="9" t="str">
        <f ca="1">+WORLDCUP!BD62</f>
        <v>Ivory Coast</v>
      </c>
      <c r="J311" s="9" t="str">
        <f ca="1">+WORLDCUP!BD68</f>
        <v>DR Congo</v>
      </c>
      <c r="N311" s="16" t="s">
        <v>1102</v>
      </c>
      <c r="O311" s="16">
        <v>310</v>
      </c>
      <c r="P311" s="16" t="s">
        <v>118</v>
      </c>
      <c r="Q311" s="16" t="s">
        <v>127</v>
      </c>
      <c r="R311" s="16" t="s">
        <v>91</v>
      </c>
      <c r="S311" s="16" t="s">
        <v>109</v>
      </c>
      <c r="T311" s="16" t="s">
        <v>86</v>
      </c>
      <c r="U311" s="16" t="s">
        <v>113</v>
      </c>
      <c r="V311" s="16" t="s">
        <v>104</v>
      </c>
      <c r="W311" s="16" t="s">
        <v>131</v>
      </c>
    </row>
    <row r="312" spans="1:23">
      <c r="A312" s="9" t="s">
        <v>1103</v>
      </c>
      <c r="B312" s="9">
        <f ca="1">+IF(A312=WORLDCUP!$BI$112,1,0)</f>
        <v>0</v>
      </c>
      <c r="C312" s="9" t="str">
        <f ca="1">+WORLDCUP!BD62</f>
        <v>Ivory Coast</v>
      </c>
      <c r="D312" s="9" t="str">
        <f ca="1">+WORLDCUP!BD64</f>
        <v>Egypt</v>
      </c>
      <c r="E312" s="9" t="str">
        <f ca="1">+WORLDCUP!BD59</f>
        <v>Switzerland</v>
      </c>
      <c r="F312" s="9" t="str">
        <f ca="1">+WORLDCUP!BD63</f>
        <v>Tunisia</v>
      </c>
      <c r="G312" s="9" t="str">
        <f ca="1">+WORLDCUP!BD58</f>
        <v>South Korea</v>
      </c>
      <c r="H312" s="9" t="str">
        <f ca="1">+WORLDCUP!BD65</f>
        <v>Saudi Arabia</v>
      </c>
      <c r="I312" s="9" t="str">
        <f ca="1">+WORLDCUP!BD69</f>
        <v>Croatia</v>
      </c>
      <c r="J312" s="9" t="str">
        <f ca="1">+WORLDCUP!BD66</f>
        <v>Norway</v>
      </c>
      <c r="N312" s="16" t="s">
        <v>1103</v>
      </c>
      <c r="O312" s="16">
        <v>311</v>
      </c>
      <c r="P312" s="16" t="s">
        <v>104</v>
      </c>
      <c r="Q312" s="16" t="s">
        <v>113</v>
      </c>
      <c r="R312" s="16" t="s">
        <v>91</v>
      </c>
      <c r="S312" s="16" t="s">
        <v>109</v>
      </c>
      <c r="T312" s="16" t="s">
        <v>86</v>
      </c>
      <c r="U312" s="16" t="s">
        <v>118</v>
      </c>
      <c r="V312" s="16" t="s">
        <v>136</v>
      </c>
      <c r="W312" s="16" t="s">
        <v>122</v>
      </c>
    </row>
    <row r="313" spans="1:23">
      <c r="A313" s="9" t="s">
        <v>1104</v>
      </c>
      <c r="B313" s="9">
        <f ca="1">+IF(A313=WORLDCUP!$BI$112,1,0)</f>
        <v>0</v>
      </c>
      <c r="C313" s="9" t="str">
        <f ca="1">+WORLDCUP!BD62</f>
        <v>Ivory Coast</v>
      </c>
      <c r="D313" s="9" t="str">
        <f ca="1">+WORLDCUP!BD64</f>
        <v>Egypt</v>
      </c>
      <c r="E313" s="9" t="str">
        <f ca="1">+WORLDCUP!BD59</f>
        <v>Switzerland</v>
      </c>
      <c r="F313" s="9" t="str">
        <f ca="1">+WORLDCUP!BD63</f>
        <v>Tunisia</v>
      </c>
      <c r="G313" s="9" t="str">
        <f ca="1">+WORLDCUP!BD58</f>
        <v>South Korea</v>
      </c>
      <c r="H313" s="9" t="str">
        <f ca="1">+WORLDCUP!BD65</f>
        <v>Saudi Arabia</v>
      </c>
      <c r="I313" s="9" t="str">
        <f ca="1">+WORLDCUP!BD66</f>
        <v>Norway</v>
      </c>
      <c r="J313" s="9" t="str">
        <f ca="1">+WORLDCUP!BD68</f>
        <v>DR Congo</v>
      </c>
      <c r="N313" s="16" t="s">
        <v>1104</v>
      </c>
      <c r="O313" s="16">
        <v>312</v>
      </c>
      <c r="P313" s="16" t="s">
        <v>104</v>
      </c>
      <c r="Q313" s="16" t="s">
        <v>113</v>
      </c>
      <c r="R313" s="16" t="s">
        <v>91</v>
      </c>
      <c r="S313" s="16" t="s">
        <v>109</v>
      </c>
      <c r="T313" s="16" t="s">
        <v>86</v>
      </c>
      <c r="U313" s="16" t="s">
        <v>118</v>
      </c>
      <c r="V313" s="16" t="s">
        <v>122</v>
      </c>
      <c r="W313" s="16" t="s">
        <v>131</v>
      </c>
    </row>
    <row r="314" spans="1:23">
      <c r="A314" s="9" t="s">
        <v>1105</v>
      </c>
      <c r="B314" s="9">
        <f ca="1">+IF(A314=WORLDCUP!$BI$112,1,0)</f>
        <v>0</v>
      </c>
      <c r="C314" s="9" t="str">
        <f ca="1">+WORLDCUP!BD65</f>
        <v>Saudi Arabia</v>
      </c>
      <c r="D314" s="9" t="str">
        <f ca="1">+WORLDCUP!BD67</f>
        <v>Algeria</v>
      </c>
      <c r="E314" s="9" t="str">
        <f ca="1">+WORLDCUP!BD59</f>
        <v>Switzerland</v>
      </c>
      <c r="F314" s="9" t="str">
        <f ca="1">+WORLDCUP!BD63</f>
        <v>Tunisia</v>
      </c>
      <c r="G314" s="9" t="str">
        <f ca="1">+WORLDCUP!BD58</f>
        <v>South Korea</v>
      </c>
      <c r="H314" s="9" t="str">
        <f ca="1">+WORLDCUP!BD64</f>
        <v>Egypt</v>
      </c>
      <c r="I314" s="9" t="str">
        <f ca="1">+WORLDCUP!BD62</f>
        <v>Ivory Coast</v>
      </c>
      <c r="J314" s="9" t="str">
        <f ca="1">+WORLDCUP!BD66</f>
        <v>Norway</v>
      </c>
      <c r="N314" s="16" t="s">
        <v>1105</v>
      </c>
      <c r="O314" s="16">
        <v>313</v>
      </c>
      <c r="P314" s="16" t="s">
        <v>118</v>
      </c>
      <c r="Q314" s="16" t="s">
        <v>127</v>
      </c>
      <c r="R314" s="16" t="s">
        <v>91</v>
      </c>
      <c r="S314" s="16" t="s">
        <v>109</v>
      </c>
      <c r="T314" s="16" t="s">
        <v>86</v>
      </c>
      <c r="U314" s="16" t="s">
        <v>113</v>
      </c>
      <c r="V314" s="16" t="s">
        <v>104</v>
      </c>
      <c r="W314" s="16" t="s">
        <v>122</v>
      </c>
    </row>
    <row r="315" spans="1:23">
      <c r="A315" s="9" t="s">
        <v>1106</v>
      </c>
      <c r="B315" s="9">
        <f ca="1">+IF(A315=WORLDCUP!$BI$112,1,0)</f>
        <v>0</v>
      </c>
      <c r="C315" s="9" t="str">
        <f ca="1">+WORLDCUP!BD66</f>
        <v>Norway</v>
      </c>
      <c r="D315" s="9" t="str">
        <f ca="1">+WORLDCUP!BD67</f>
        <v>Algeria</v>
      </c>
      <c r="E315" s="9" t="str">
        <f ca="1">+WORLDCUP!BD59</f>
        <v>Switzerland</v>
      </c>
      <c r="F315" s="9" t="str">
        <f ca="1">+WORLDCUP!BD61</f>
        <v>Australia</v>
      </c>
      <c r="G315" s="9" t="str">
        <f ca="1">+WORLDCUP!BD58</f>
        <v>South Korea</v>
      </c>
      <c r="H315" s="9" t="str">
        <f ca="1">+WORLDCUP!BD65</f>
        <v>Saudi Arabia</v>
      </c>
      <c r="I315" s="9" t="str">
        <f ca="1">+WORLDCUP!BD69</f>
        <v>Croatia</v>
      </c>
      <c r="J315" s="9" t="str">
        <f ca="1">+WORLDCUP!BD68</f>
        <v>DR Congo</v>
      </c>
      <c r="N315" s="16" t="s">
        <v>1106</v>
      </c>
      <c r="O315" s="16">
        <v>314</v>
      </c>
      <c r="P315" s="16" t="s">
        <v>122</v>
      </c>
      <c r="Q315" s="16" t="s">
        <v>127</v>
      </c>
      <c r="R315" s="16" t="s">
        <v>91</v>
      </c>
      <c r="S315" s="16" t="s">
        <v>100</v>
      </c>
      <c r="T315" s="16" t="s">
        <v>86</v>
      </c>
      <c r="U315" s="16" t="s">
        <v>118</v>
      </c>
      <c r="V315" s="16" t="s">
        <v>136</v>
      </c>
      <c r="W315" s="16" t="s">
        <v>131</v>
      </c>
    </row>
    <row r="316" spans="1:23">
      <c r="A316" s="9" t="s">
        <v>1107</v>
      </c>
      <c r="B316" s="9">
        <f ca="1">+IF(A316=WORLDCUP!$BI$112,1,0)</f>
        <v>0</v>
      </c>
      <c r="C316" s="9" t="str">
        <f ca="1">+WORLDCUP!BD66</f>
        <v>Norway</v>
      </c>
      <c r="D316" s="9" t="str">
        <f ca="1">+WORLDCUP!BD67</f>
        <v>Algeria</v>
      </c>
      <c r="E316" s="9" t="str">
        <f ca="1">+WORLDCUP!BD59</f>
        <v>Switzerland</v>
      </c>
      <c r="F316" s="9" t="str">
        <f ca="1">+WORLDCUP!BD61</f>
        <v>Australia</v>
      </c>
      <c r="G316" s="9" t="str">
        <f ca="1">+WORLDCUP!BD58</f>
        <v>South Korea</v>
      </c>
      <c r="H316" s="9" t="str">
        <f ca="1">+WORLDCUP!BD64</f>
        <v>Egypt</v>
      </c>
      <c r="I316" s="9" t="str">
        <f ca="1">+WORLDCUP!BD69</f>
        <v>Croatia</v>
      </c>
      <c r="J316" s="9" t="str">
        <f ca="1">+WORLDCUP!BD68</f>
        <v>DR Congo</v>
      </c>
      <c r="N316" s="16" t="s">
        <v>1107</v>
      </c>
      <c r="O316" s="16">
        <v>315</v>
      </c>
      <c r="P316" s="16" t="s">
        <v>122</v>
      </c>
      <c r="Q316" s="16" t="s">
        <v>127</v>
      </c>
      <c r="R316" s="16" t="s">
        <v>91</v>
      </c>
      <c r="S316" s="16" t="s">
        <v>100</v>
      </c>
      <c r="T316" s="16" t="s">
        <v>86</v>
      </c>
      <c r="U316" s="16" t="s">
        <v>113</v>
      </c>
      <c r="V316" s="16" t="s">
        <v>136</v>
      </c>
      <c r="W316" s="16" t="s">
        <v>131</v>
      </c>
    </row>
    <row r="317" spans="1:23">
      <c r="A317" s="9" t="s">
        <v>1108</v>
      </c>
      <c r="B317" s="9">
        <f ca="1">+IF(A317=WORLDCUP!$BI$112,1,0)</f>
        <v>0</v>
      </c>
      <c r="C317" s="9" t="str">
        <f ca="1">+WORLDCUP!BD65</f>
        <v>Saudi Arabia</v>
      </c>
      <c r="D317" s="9" t="str">
        <f ca="1">+WORLDCUP!BD67</f>
        <v>Algeria</v>
      </c>
      <c r="E317" s="9" t="str">
        <f ca="1">+WORLDCUP!BD59</f>
        <v>Switzerland</v>
      </c>
      <c r="F317" s="9" t="str">
        <f ca="1">+WORLDCUP!BD61</f>
        <v>Australia</v>
      </c>
      <c r="G317" s="9" t="str">
        <f ca="1">+WORLDCUP!BD58</f>
        <v>South Korea</v>
      </c>
      <c r="H317" s="9" t="str">
        <f ca="1">+WORLDCUP!BD64</f>
        <v>Egypt</v>
      </c>
      <c r="I317" s="9" t="str">
        <f ca="1">+WORLDCUP!BD69</f>
        <v>Croatia</v>
      </c>
      <c r="J317" s="9" t="str">
        <f ca="1">+WORLDCUP!BD68</f>
        <v>DR Congo</v>
      </c>
      <c r="N317" s="16" t="s">
        <v>1108</v>
      </c>
      <c r="O317" s="16">
        <v>316</v>
      </c>
      <c r="P317" s="16" t="s">
        <v>118</v>
      </c>
      <c r="Q317" s="16" t="s">
        <v>127</v>
      </c>
      <c r="R317" s="16" t="s">
        <v>91</v>
      </c>
      <c r="S317" s="16" t="s">
        <v>100</v>
      </c>
      <c r="T317" s="16" t="s">
        <v>86</v>
      </c>
      <c r="U317" s="16" t="s">
        <v>113</v>
      </c>
      <c r="V317" s="16" t="s">
        <v>136</v>
      </c>
      <c r="W317" s="16" t="s">
        <v>131</v>
      </c>
    </row>
    <row r="318" spans="1:23">
      <c r="A318" s="9" t="s">
        <v>1109</v>
      </c>
      <c r="B318" s="9">
        <f ca="1">+IF(A318=WORLDCUP!$BI$112,1,0)</f>
        <v>0</v>
      </c>
      <c r="C318" s="9" t="str">
        <f ca="1">+WORLDCUP!BD66</f>
        <v>Norway</v>
      </c>
      <c r="D318" s="9" t="str">
        <f ca="1">+WORLDCUP!BD64</f>
        <v>Egypt</v>
      </c>
      <c r="E318" s="9" t="str">
        <f ca="1">+WORLDCUP!BD59</f>
        <v>Switzerland</v>
      </c>
      <c r="F318" s="9" t="str">
        <f ca="1">+WORLDCUP!BD61</f>
        <v>Australia</v>
      </c>
      <c r="G318" s="9" t="str">
        <f ca="1">+WORLDCUP!BD58</f>
        <v>South Korea</v>
      </c>
      <c r="H318" s="9" t="str">
        <f ca="1">+WORLDCUP!BD65</f>
        <v>Saudi Arabia</v>
      </c>
      <c r="I318" s="9" t="str">
        <f ca="1">+WORLDCUP!BD69</f>
        <v>Croatia</v>
      </c>
      <c r="J318" s="9" t="str">
        <f ca="1">+WORLDCUP!BD68</f>
        <v>DR Congo</v>
      </c>
      <c r="N318" s="16" t="s">
        <v>1109</v>
      </c>
      <c r="O318" s="16">
        <v>317</v>
      </c>
      <c r="P318" s="16" t="s">
        <v>122</v>
      </c>
      <c r="Q318" s="16" t="s">
        <v>113</v>
      </c>
      <c r="R318" s="16" t="s">
        <v>91</v>
      </c>
      <c r="S318" s="16" t="s">
        <v>100</v>
      </c>
      <c r="T318" s="16" t="s">
        <v>86</v>
      </c>
      <c r="U318" s="16" t="s">
        <v>118</v>
      </c>
      <c r="V318" s="16" t="s">
        <v>136</v>
      </c>
      <c r="W318" s="16" t="s">
        <v>131</v>
      </c>
    </row>
    <row r="319" spans="1:23">
      <c r="A319" s="9" t="s">
        <v>1110</v>
      </c>
      <c r="B319" s="9">
        <f ca="1">+IF(A319=WORLDCUP!$BI$112,1,0)</f>
        <v>0</v>
      </c>
      <c r="C319" s="9" t="str">
        <f ca="1">+WORLDCUP!BD65</f>
        <v>Saudi Arabia</v>
      </c>
      <c r="D319" s="9" t="str">
        <f ca="1">+WORLDCUP!BD67</f>
        <v>Algeria</v>
      </c>
      <c r="E319" s="9" t="str">
        <f ca="1">+WORLDCUP!BD59</f>
        <v>Switzerland</v>
      </c>
      <c r="F319" s="9" t="str">
        <f ca="1">+WORLDCUP!BD61</f>
        <v>Australia</v>
      </c>
      <c r="G319" s="9" t="str">
        <f ca="1">+WORLDCUP!BD58</f>
        <v>South Korea</v>
      </c>
      <c r="H319" s="9" t="str">
        <f ca="1">+WORLDCUP!BD64</f>
        <v>Egypt</v>
      </c>
      <c r="I319" s="9" t="str">
        <f ca="1">+WORLDCUP!BD69</f>
        <v>Croatia</v>
      </c>
      <c r="J319" s="9" t="str">
        <f ca="1">+WORLDCUP!BD66</f>
        <v>Norway</v>
      </c>
      <c r="N319" s="16" t="s">
        <v>1110</v>
      </c>
      <c r="O319" s="16">
        <v>318</v>
      </c>
      <c r="P319" s="16" t="s">
        <v>118</v>
      </c>
      <c r="Q319" s="16" t="s">
        <v>127</v>
      </c>
      <c r="R319" s="16" t="s">
        <v>91</v>
      </c>
      <c r="S319" s="16" t="s">
        <v>100</v>
      </c>
      <c r="T319" s="16" t="s">
        <v>86</v>
      </c>
      <c r="U319" s="16" t="s">
        <v>113</v>
      </c>
      <c r="V319" s="16" t="s">
        <v>136</v>
      </c>
      <c r="W319" s="16" t="s">
        <v>122</v>
      </c>
    </row>
    <row r="320" spans="1:23">
      <c r="A320" s="9" t="s">
        <v>1111</v>
      </c>
      <c r="B320" s="9">
        <f ca="1">+IF(A320=WORLDCUP!$BI$112,1,0)</f>
        <v>0</v>
      </c>
      <c r="C320" s="9" t="str">
        <f ca="1">+WORLDCUP!BD65</f>
        <v>Saudi Arabia</v>
      </c>
      <c r="D320" s="9" t="str">
        <f ca="1">+WORLDCUP!BD67</f>
        <v>Algeria</v>
      </c>
      <c r="E320" s="9" t="str">
        <f ca="1">+WORLDCUP!BD59</f>
        <v>Switzerland</v>
      </c>
      <c r="F320" s="9" t="str">
        <f ca="1">+WORLDCUP!BD61</f>
        <v>Australia</v>
      </c>
      <c r="G320" s="9" t="str">
        <f ca="1">+WORLDCUP!BD58</f>
        <v>South Korea</v>
      </c>
      <c r="H320" s="9" t="str">
        <f ca="1">+WORLDCUP!BD64</f>
        <v>Egypt</v>
      </c>
      <c r="I320" s="9" t="str">
        <f ca="1">+WORLDCUP!BD66</f>
        <v>Norway</v>
      </c>
      <c r="J320" s="9" t="str">
        <f ca="1">+WORLDCUP!BD68</f>
        <v>DR Congo</v>
      </c>
      <c r="N320" s="16" t="s">
        <v>1111</v>
      </c>
      <c r="O320" s="16">
        <v>319</v>
      </c>
      <c r="P320" s="16" t="s">
        <v>118</v>
      </c>
      <c r="Q320" s="16" t="s">
        <v>127</v>
      </c>
      <c r="R320" s="16" t="s">
        <v>91</v>
      </c>
      <c r="S320" s="16" t="s">
        <v>100</v>
      </c>
      <c r="T320" s="16" t="s">
        <v>86</v>
      </c>
      <c r="U320" s="16" t="s">
        <v>113</v>
      </c>
      <c r="V320" s="16" t="s">
        <v>122</v>
      </c>
      <c r="W320" s="16" t="s">
        <v>131</v>
      </c>
    </row>
    <row r="321" spans="1:23">
      <c r="A321" s="9" t="s">
        <v>1112</v>
      </c>
      <c r="B321" s="9">
        <f ca="1">+IF(A321=WORLDCUP!$BI$112,1,0)</f>
        <v>0</v>
      </c>
      <c r="C321" s="9" t="str">
        <f ca="1">+WORLDCUP!BD66</f>
        <v>Norway</v>
      </c>
      <c r="D321" s="9" t="str">
        <f ca="1">+WORLDCUP!BD67</f>
        <v>Algeria</v>
      </c>
      <c r="E321" s="9" t="str">
        <f ca="1">+WORLDCUP!BD59</f>
        <v>Switzerland</v>
      </c>
      <c r="F321" s="9" t="str">
        <f ca="1">+WORLDCUP!BD61</f>
        <v>Australia</v>
      </c>
      <c r="G321" s="9" t="str">
        <f ca="1">+WORLDCUP!BD58</f>
        <v>South Korea</v>
      </c>
      <c r="H321" s="9" t="str">
        <f ca="1">+WORLDCUP!BD63</f>
        <v>Tunisia</v>
      </c>
      <c r="I321" s="9" t="str">
        <f ca="1">+WORLDCUP!BD69</f>
        <v>Croatia</v>
      </c>
      <c r="J321" s="9" t="str">
        <f ca="1">+WORLDCUP!BD68</f>
        <v>DR Congo</v>
      </c>
      <c r="N321" s="16" t="s">
        <v>1112</v>
      </c>
      <c r="O321" s="16">
        <v>320</v>
      </c>
      <c r="P321" s="16" t="s">
        <v>122</v>
      </c>
      <c r="Q321" s="16" t="s">
        <v>127</v>
      </c>
      <c r="R321" s="16" t="s">
        <v>91</v>
      </c>
      <c r="S321" s="16" t="s">
        <v>100</v>
      </c>
      <c r="T321" s="16" t="s">
        <v>86</v>
      </c>
      <c r="U321" s="16" t="s">
        <v>109</v>
      </c>
      <c r="V321" s="16" t="s">
        <v>136</v>
      </c>
      <c r="W321" s="16" t="s">
        <v>131</v>
      </c>
    </row>
    <row r="322" spans="1:23">
      <c r="A322" s="9" t="s">
        <v>1113</v>
      </c>
      <c r="B322" s="9">
        <f ca="1">+IF(A322=WORLDCUP!$BI$112,1,0)</f>
        <v>0</v>
      </c>
      <c r="C322" s="9" t="str">
        <f ca="1">+WORLDCUP!BD65</f>
        <v>Saudi Arabia</v>
      </c>
      <c r="D322" s="9" t="str">
        <f ca="1">+WORLDCUP!BD67</f>
        <v>Algeria</v>
      </c>
      <c r="E322" s="9" t="str">
        <f ca="1">+WORLDCUP!BD59</f>
        <v>Switzerland</v>
      </c>
      <c r="F322" s="9" t="str">
        <f ca="1">+WORLDCUP!BD61</f>
        <v>Australia</v>
      </c>
      <c r="G322" s="9" t="str">
        <f ca="1">+WORLDCUP!BD58</f>
        <v>South Korea</v>
      </c>
      <c r="H322" s="9" t="str">
        <f ca="1">+WORLDCUP!BD63</f>
        <v>Tunisia</v>
      </c>
      <c r="I322" s="9" t="str">
        <f ca="1">+WORLDCUP!BD69</f>
        <v>Croatia</v>
      </c>
      <c r="J322" s="9" t="str">
        <f ca="1">+WORLDCUP!BD68</f>
        <v>DR Congo</v>
      </c>
      <c r="N322" s="16" t="s">
        <v>1113</v>
      </c>
      <c r="O322" s="16">
        <v>321</v>
      </c>
      <c r="P322" s="16" t="s">
        <v>118</v>
      </c>
      <c r="Q322" s="16" t="s">
        <v>127</v>
      </c>
      <c r="R322" s="16" t="s">
        <v>91</v>
      </c>
      <c r="S322" s="16" t="s">
        <v>100</v>
      </c>
      <c r="T322" s="16" t="s">
        <v>86</v>
      </c>
      <c r="U322" s="16" t="s">
        <v>109</v>
      </c>
      <c r="V322" s="16" t="s">
        <v>136</v>
      </c>
      <c r="W322" s="16" t="s">
        <v>131</v>
      </c>
    </row>
    <row r="323" spans="1:23">
      <c r="A323" s="9" t="s">
        <v>1114</v>
      </c>
      <c r="B323" s="9">
        <f ca="1">+IF(A323=WORLDCUP!$BI$112,1,0)</f>
        <v>0</v>
      </c>
      <c r="C323" s="9" t="str">
        <f ca="1">+WORLDCUP!BD65</f>
        <v>Saudi Arabia</v>
      </c>
      <c r="D323" s="9" t="str">
        <f ca="1">+WORLDCUP!BD66</f>
        <v>Norway</v>
      </c>
      <c r="E323" s="9" t="str">
        <f ca="1">+WORLDCUP!BD59</f>
        <v>Switzerland</v>
      </c>
      <c r="F323" s="9" t="str">
        <f ca="1">+WORLDCUP!BD61</f>
        <v>Australia</v>
      </c>
      <c r="G323" s="9" t="str">
        <f ca="1">+WORLDCUP!BD58</f>
        <v>South Korea</v>
      </c>
      <c r="H323" s="9" t="str">
        <f ca="1">+WORLDCUP!BD63</f>
        <v>Tunisia</v>
      </c>
      <c r="I323" s="9" t="str">
        <f ca="1">+WORLDCUP!BD69</f>
        <v>Croatia</v>
      </c>
      <c r="J323" s="9" t="str">
        <f ca="1">+WORLDCUP!BD68</f>
        <v>DR Congo</v>
      </c>
      <c r="N323" s="16" t="s">
        <v>1114</v>
      </c>
      <c r="O323" s="16">
        <v>322</v>
      </c>
      <c r="P323" s="16" t="s">
        <v>118</v>
      </c>
      <c r="Q323" s="16" t="s">
        <v>122</v>
      </c>
      <c r="R323" s="16" t="s">
        <v>91</v>
      </c>
      <c r="S323" s="16" t="s">
        <v>100</v>
      </c>
      <c r="T323" s="16" t="s">
        <v>86</v>
      </c>
      <c r="U323" s="16" t="s">
        <v>109</v>
      </c>
      <c r="V323" s="16" t="s">
        <v>136</v>
      </c>
      <c r="W323" s="16" t="s">
        <v>131</v>
      </c>
    </row>
    <row r="324" spans="1:23">
      <c r="A324" s="9" t="s">
        <v>1115</v>
      </c>
      <c r="B324" s="9">
        <f ca="1">+IF(A324=WORLDCUP!$BI$112,1,0)</f>
        <v>0</v>
      </c>
      <c r="C324" s="9" t="str">
        <f ca="1">+WORLDCUP!BD65</f>
        <v>Saudi Arabia</v>
      </c>
      <c r="D324" s="9" t="str">
        <f ca="1">+WORLDCUP!BD67</f>
        <v>Algeria</v>
      </c>
      <c r="E324" s="9" t="str">
        <f ca="1">+WORLDCUP!BD59</f>
        <v>Switzerland</v>
      </c>
      <c r="F324" s="9" t="str">
        <f ca="1">+WORLDCUP!BD61</f>
        <v>Australia</v>
      </c>
      <c r="G324" s="9" t="str">
        <f ca="1">+WORLDCUP!BD58</f>
        <v>South Korea</v>
      </c>
      <c r="H324" s="9" t="str">
        <f ca="1">+WORLDCUP!BD63</f>
        <v>Tunisia</v>
      </c>
      <c r="I324" s="9" t="str">
        <f ca="1">+WORLDCUP!BD69</f>
        <v>Croatia</v>
      </c>
      <c r="J324" s="9" t="str">
        <f ca="1">+WORLDCUP!BD66</f>
        <v>Norway</v>
      </c>
      <c r="N324" s="16" t="s">
        <v>1115</v>
      </c>
      <c r="O324" s="16">
        <v>323</v>
      </c>
      <c r="P324" s="16" t="s">
        <v>118</v>
      </c>
      <c r="Q324" s="16" t="s">
        <v>127</v>
      </c>
      <c r="R324" s="16" t="s">
        <v>91</v>
      </c>
      <c r="S324" s="16" t="s">
        <v>100</v>
      </c>
      <c r="T324" s="16" t="s">
        <v>86</v>
      </c>
      <c r="U324" s="16" t="s">
        <v>109</v>
      </c>
      <c r="V324" s="16" t="s">
        <v>136</v>
      </c>
      <c r="W324" s="16" t="s">
        <v>122</v>
      </c>
    </row>
    <row r="325" spans="1:23">
      <c r="A325" s="9" t="s">
        <v>1116</v>
      </c>
      <c r="B325" s="9">
        <f ca="1">+IF(A325=WORLDCUP!$BI$112,1,0)</f>
        <v>0</v>
      </c>
      <c r="C325" s="9" t="str">
        <f ca="1">+WORLDCUP!BD65</f>
        <v>Saudi Arabia</v>
      </c>
      <c r="D325" s="9" t="str">
        <f ca="1">+WORLDCUP!BD67</f>
        <v>Algeria</v>
      </c>
      <c r="E325" s="9" t="str">
        <f ca="1">+WORLDCUP!BD59</f>
        <v>Switzerland</v>
      </c>
      <c r="F325" s="9" t="str">
        <f ca="1">+WORLDCUP!BD61</f>
        <v>Australia</v>
      </c>
      <c r="G325" s="9" t="str">
        <f ca="1">+WORLDCUP!BD58</f>
        <v>South Korea</v>
      </c>
      <c r="H325" s="9" t="str">
        <f ca="1">+WORLDCUP!BD63</f>
        <v>Tunisia</v>
      </c>
      <c r="I325" s="9" t="str">
        <f ca="1">+WORLDCUP!BD66</f>
        <v>Norway</v>
      </c>
      <c r="J325" s="9" t="str">
        <f ca="1">+WORLDCUP!BD68</f>
        <v>DR Congo</v>
      </c>
      <c r="N325" s="16" t="s">
        <v>1116</v>
      </c>
      <c r="O325" s="16">
        <v>324</v>
      </c>
      <c r="P325" s="16" t="s">
        <v>118</v>
      </c>
      <c r="Q325" s="16" t="s">
        <v>127</v>
      </c>
      <c r="R325" s="16" t="s">
        <v>91</v>
      </c>
      <c r="S325" s="16" t="s">
        <v>100</v>
      </c>
      <c r="T325" s="16" t="s">
        <v>86</v>
      </c>
      <c r="U325" s="16" t="s">
        <v>109</v>
      </c>
      <c r="V325" s="16" t="s">
        <v>122</v>
      </c>
      <c r="W325" s="16" t="s">
        <v>131</v>
      </c>
    </row>
    <row r="326" spans="1:23">
      <c r="A326" s="9" t="s">
        <v>1117</v>
      </c>
      <c r="B326" s="9">
        <f ca="1">+IF(A326=WORLDCUP!$BI$112,1,0)</f>
        <v>0</v>
      </c>
      <c r="C326" s="9" t="str">
        <f ca="1">+WORLDCUP!BD63</f>
        <v>Tunisia</v>
      </c>
      <c r="D326" s="9" t="str">
        <f ca="1">+WORLDCUP!BD67</f>
        <v>Algeria</v>
      </c>
      <c r="E326" s="9" t="str">
        <f ca="1">+WORLDCUP!BD59</f>
        <v>Switzerland</v>
      </c>
      <c r="F326" s="9" t="str">
        <f ca="1">+WORLDCUP!BD61</f>
        <v>Australia</v>
      </c>
      <c r="G326" s="9" t="str">
        <f ca="1">+WORLDCUP!BD58</f>
        <v>South Korea</v>
      </c>
      <c r="H326" s="9" t="str">
        <f ca="1">+WORLDCUP!BD64</f>
        <v>Egypt</v>
      </c>
      <c r="I326" s="9" t="str">
        <f ca="1">+WORLDCUP!BD69</f>
        <v>Croatia</v>
      </c>
      <c r="J326" s="9" t="str">
        <f ca="1">+WORLDCUP!BD68</f>
        <v>DR Congo</v>
      </c>
      <c r="N326" s="16" t="s">
        <v>1117</v>
      </c>
      <c r="O326" s="16">
        <v>325</v>
      </c>
      <c r="P326" s="16" t="s">
        <v>109</v>
      </c>
      <c r="Q326" s="16" t="s">
        <v>127</v>
      </c>
      <c r="R326" s="16" t="s">
        <v>91</v>
      </c>
      <c r="S326" s="16" t="s">
        <v>100</v>
      </c>
      <c r="T326" s="16" t="s">
        <v>86</v>
      </c>
      <c r="U326" s="16" t="s">
        <v>113</v>
      </c>
      <c r="V326" s="16" t="s">
        <v>136</v>
      </c>
      <c r="W326" s="16" t="s">
        <v>131</v>
      </c>
    </row>
    <row r="327" spans="1:23">
      <c r="A327" s="9" t="s">
        <v>1118</v>
      </c>
      <c r="B327" s="9">
        <f ca="1">+IF(A327=WORLDCUP!$BI$112,1,0)</f>
        <v>0</v>
      </c>
      <c r="C327" s="9" t="str">
        <f ca="1">+WORLDCUP!BD66</f>
        <v>Norway</v>
      </c>
      <c r="D327" s="9" t="str">
        <f ca="1">+WORLDCUP!BD64</f>
        <v>Egypt</v>
      </c>
      <c r="E327" s="9" t="str">
        <f ca="1">+WORLDCUP!BD59</f>
        <v>Switzerland</v>
      </c>
      <c r="F327" s="9" t="str">
        <f ca="1">+WORLDCUP!BD61</f>
        <v>Australia</v>
      </c>
      <c r="G327" s="9" t="str">
        <f ca="1">+WORLDCUP!BD58</f>
        <v>South Korea</v>
      </c>
      <c r="H327" s="9" t="str">
        <f ca="1">+WORLDCUP!BD63</f>
        <v>Tunisia</v>
      </c>
      <c r="I327" s="9" t="str">
        <f ca="1">+WORLDCUP!BD69</f>
        <v>Croatia</v>
      </c>
      <c r="J327" s="9" t="str">
        <f ca="1">+WORLDCUP!BD68</f>
        <v>DR Congo</v>
      </c>
      <c r="N327" s="16" t="s">
        <v>1118</v>
      </c>
      <c r="O327" s="16">
        <v>326</v>
      </c>
      <c r="P327" s="16" t="s">
        <v>122</v>
      </c>
      <c r="Q327" s="16" t="s">
        <v>113</v>
      </c>
      <c r="R327" s="16" t="s">
        <v>91</v>
      </c>
      <c r="S327" s="16" t="s">
        <v>100</v>
      </c>
      <c r="T327" s="16" t="s">
        <v>86</v>
      </c>
      <c r="U327" s="16" t="s">
        <v>109</v>
      </c>
      <c r="V327" s="16" t="s">
        <v>136</v>
      </c>
      <c r="W327" s="16" t="s">
        <v>131</v>
      </c>
    </row>
    <row r="328" spans="1:23">
      <c r="A328" s="9" t="s">
        <v>1119</v>
      </c>
      <c r="B328" s="9">
        <f ca="1">+IF(A328=WORLDCUP!$BI$112,1,0)</f>
        <v>0</v>
      </c>
      <c r="C328" s="9" t="str">
        <f ca="1">+WORLDCUP!BD63</f>
        <v>Tunisia</v>
      </c>
      <c r="D328" s="9" t="str">
        <f ca="1">+WORLDCUP!BD67</f>
        <v>Algeria</v>
      </c>
      <c r="E328" s="9" t="str">
        <f ca="1">+WORLDCUP!BD59</f>
        <v>Switzerland</v>
      </c>
      <c r="F328" s="9" t="str">
        <f ca="1">+WORLDCUP!BD61</f>
        <v>Australia</v>
      </c>
      <c r="G328" s="9" t="str">
        <f ca="1">+WORLDCUP!BD58</f>
        <v>South Korea</v>
      </c>
      <c r="H328" s="9" t="str">
        <f ca="1">+WORLDCUP!BD64</f>
        <v>Egypt</v>
      </c>
      <c r="I328" s="9" t="str">
        <f ca="1">+WORLDCUP!BD69</f>
        <v>Croatia</v>
      </c>
      <c r="J328" s="9" t="str">
        <f ca="1">+WORLDCUP!BD66</f>
        <v>Norway</v>
      </c>
      <c r="N328" s="16" t="s">
        <v>1119</v>
      </c>
      <c r="O328" s="16">
        <v>327</v>
      </c>
      <c r="P328" s="16" t="s">
        <v>109</v>
      </c>
      <c r="Q328" s="16" t="s">
        <v>127</v>
      </c>
      <c r="R328" s="16" t="s">
        <v>91</v>
      </c>
      <c r="S328" s="16" t="s">
        <v>100</v>
      </c>
      <c r="T328" s="16" t="s">
        <v>86</v>
      </c>
      <c r="U328" s="16" t="s">
        <v>113</v>
      </c>
      <c r="V328" s="16" t="s">
        <v>136</v>
      </c>
      <c r="W328" s="16" t="s">
        <v>122</v>
      </c>
    </row>
    <row r="329" spans="1:23">
      <c r="A329" s="9" t="s">
        <v>1120</v>
      </c>
      <c r="B329" s="9">
        <f ca="1">+IF(A329=WORLDCUP!$BI$112,1,0)</f>
        <v>0</v>
      </c>
      <c r="C329" s="9" t="str">
        <f ca="1">+WORLDCUP!BD63</f>
        <v>Tunisia</v>
      </c>
      <c r="D329" s="9" t="str">
        <f ca="1">+WORLDCUP!BD67</f>
        <v>Algeria</v>
      </c>
      <c r="E329" s="9" t="str">
        <f ca="1">+WORLDCUP!BD59</f>
        <v>Switzerland</v>
      </c>
      <c r="F329" s="9" t="str">
        <f ca="1">+WORLDCUP!BD61</f>
        <v>Australia</v>
      </c>
      <c r="G329" s="9" t="str">
        <f ca="1">+WORLDCUP!BD58</f>
        <v>South Korea</v>
      </c>
      <c r="H329" s="9" t="str">
        <f ca="1">+WORLDCUP!BD64</f>
        <v>Egypt</v>
      </c>
      <c r="I329" s="9" t="str">
        <f ca="1">+WORLDCUP!BD66</f>
        <v>Norway</v>
      </c>
      <c r="J329" s="9" t="str">
        <f ca="1">+WORLDCUP!BD68</f>
        <v>DR Congo</v>
      </c>
      <c r="N329" s="16" t="s">
        <v>1120</v>
      </c>
      <c r="O329" s="16">
        <v>328</v>
      </c>
      <c r="P329" s="16" t="s">
        <v>109</v>
      </c>
      <c r="Q329" s="16" t="s">
        <v>127</v>
      </c>
      <c r="R329" s="16" t="s">
        <v>91</v>
      </c>
      <c r="S329" s="16" t="s">
        <v>100</v>
      </c>
      <c r="T329" s="16" t="s">
        <v>86</v>
      </c>
      <c r="U329" s="16" t="s">
        <v>113</v>
      </c>
      <c r="V329" s="16" t="s">
        <v>122</v>
      </c>
      <c r="W329" s="16" t="s">
        <v>131</v>
      </c>
    </row>
    <row r="330" spans="1:23">
      <c r="A330" s="9" t="s">
        <v>1121</v>
      </c>
      <c r="B330" s="9">
        <f ca="1">+IF(A330=WORLDCUP!$BI$112,1,0)</f>
        <v>0</v>
      </c>
      <c r="C330" s="9" t="str">
        <f ca="1">+WORLDCUP!BD65</f>
        <v>Saudi Arabia</v>
      </c>
      <c r="D330" s="9" t="str">
        <f ca="1">+WORLDCUP!BD64</f>
        <v>Egypt</v>
      </c>
      <c r="E330" s="9" t="str">
        <f ca="1">+WORLDCUP!BD59</f>
        <v>Switzerland</v>
      </c>
      <c r="F330" s="9" t="str">
        <f ca="1">+WORLDCUP!BD61</f>
        <v>Australia</v>
      </c>
      <c r="G330" s="9" t="str">
        <f ca="1">+WORLDCUP!BD58</f>
        <v>South Korea</v>
      </c>
      <c r="H330" s="9" t="str">
        <f ca="1">+WORLDCUP!BD63</f>
        <v>Tunisia</v>
      </c>
      <c r="I330" s="9" t="str">
        <f ca="1">+WORLDCUP!BD69</f>
        <v>Croatia</v>
      </c>
      <c r="J330" s="9" t="str">
        <f ca="1">+WORLDCUP!BD68</f>
        <v>DR Congo</v>
      </c>
      <c r="N330" s="16" t="s">
        <v>1121</v>
      </c>
      <c r="O330" s="16">
        <v>329</v>
      </c>
      <c r="P330" s="16" t="s">
        <v>118</v>
      </c>
      <c r="Q330" s="16" t="s">
        <v>113</v>
      </c>
      <c r="R330" s="16" t="s">
        <v>91</v>
      </c>
      <c r="S330" s="16" t="s">
        <v>100</v>
      </c>
      <c r="T330" s="16" t="s">
        <v>86</v>
      </c>
      <c r="U330" s="16" t="s">
        <v>109</v>
      </c>
      <c r="V330" s="16" t="s">
        <v>136</v>
      </c>
      <c r="W330" s="16" t="s">
        <v>131</v>
      </c>
    </row>
    <row r="331" spans="1:23">
      <c r="A331" s="9" t="s">
        <v>1122</v>
      </c>
      <c r="B331" s="9">
        <f ca="1">+IF(A331=WORLDCUP!$BI$112,1,0)</f>
        <v>0</v>
      </c>
      <c r="C331" s="9" t="str">
        <f ca="1">+WORLDCUP!BD65</f>
        <v>Saudi Arabia</v>
      </c>
      <c r="D331" s="9" t="str">
        <f ca="1">+WORLDCUP!BD64</f>
        <v>Egypt</v>
      </c>
      <c r="E331" s="9" t="str">
        <f ca="1">+WORLDCUP!BD59</f>
        <v>Switzerland</v>
      </c>
      <c r="F331" s="9" t="str">
        <f ca="1">+WORLDCUP!BD61</f>
        <v>Australia</v>
      </c>
      <c r="G331" s="9" t="str">
        <f ca="1">+WORLDCUP!BD58</f>
        <v>South Korea</v>
      </c>
      <c r="H331" s="9" t="str">
        <f ca="1">+WORLDCUP!BD63</f>
        <v>Tunisia</v>
      </c>
      <c r="I331" s="9" t="str">
        <f ca="1">+WORLDCUP!BD69</f>
        <v>Croatia</v>
      </c>
      <c r="J331" s="9" t="str">
        <f ca="1">+WORLDCUP!BD67</f>
        <v>Algeria</v>
      </c>
      <c r="N331" s="16" t="s">
        <v>1122</v>
      </c>
      <c r="O331" s="16">
        <v>330</v>
      </c>
      <c r="P331" s="16" t="s">
        <v>118</v>
      </c>
      <c r="Q331" s="16" t="s">
        <v>113</v>
      </c>
      <c r="R331" s="16" t="s">
        <v>91</v>
      </c>
      <c r="S331" s="16" t="s">
        <v>100</v>
      </c>
      <c r="T331" s="16" t="s">
        <v>86</v>
      </c>
      <c r="U331" s="16" t="s">
        <v>109</v>
      </c>
      <c r="V331" s="16" t="s">
        <v>136</v>
      </c>
      <c r="W331" s="16" t="s">
        <v>127</v>
      </c>
    </row>
    <row r="332" spans="1:23">
      <c r="A332" s="9" t="s">
        <v>1123</v>
      </c>
      <c r="B332" s="9">
        <f ca="1">+IF(A332=WORLDCUP!$BI$112,1,0)</f>
        <v>0</v>
      </c>
      <c r="C332" s="9" t="str">
        <f ca="1">+WORLDCUP!BD65</f>
        <v>Saudi Arabia</v>
      </c>
      <c r="D332" s="9" t="str">
        <f ca="1">+WORLDCUP!BD64</f>
        <v>Egypt</v>
      </c>
      <c r="E332" s="9" t="str">
        <f ca="1">+WORLDCUP!BD59</f>
        <v>Switzerland</v>
      </c>
      <c r="F332" s="9" t="str">
        <f ca="1">+WORLDCUP!BD61</f>
        <v>Australia</v>
      </c>
      <c r="G332" s="9" t="str">
        <f ca="1">+WORLDCUP!BD58</f>
        <v>South Korea</v>
      </c>
      <c r="H332" s="9" t="str">
        <f ca="1">+WORLDCUP!BD63</f>
        <v>Tunisia</v>
      </c>
      <c r="I332" s="9" t="str">
        <f ca="1">+WORLDCUP!BD67</f>
        <v>Algeria</v>
      </c>
      <c r="J332" s="9" t="str">
        <f ca="1">+WORLDCUP!BD68</f>
        <v>DR Congo</v>
      </c>
      <c r="N332" s="16" t="s">
        <v>1123</v>
      </c>
      <c r="O332" s="16">
        <v>331</v>
      </c>
      <c r="P332" s="16" t="s">
        <v>118</v>
      </c>
      <c r="Q332" s="16" t="s">
        <v>113</v>
      </c>
      <c r="R332" s="16" t="s">
        <v>91</v>
      </c>
      <c r="S332" s="16" t="s">
        <v>100</v>
      </c>
      <c r="T332" s="16" t="s">
        <v>86</v>
      </c>
      <c r="U332" s="16" t="s">
        <v>109</v>
      </c>
      <c r="V332" s="16" t="s">
        <v>127</v>
      </c>
      <c r="W332" s="16" t="s">
        <v>131</v>
      </c>
    </row>
    <row r="333" spans="1:23">
      <c r="A333" s="9" t="s">
        <v>1124</v>
      </c>
      <c r="B333" s="9">
        <f ca="1">+IF(A333=WORLDCUP!$BI$112,1,0)</f>
        <v>0</v>
      </c>
      <c r="C333" s="9" t="str">
        <f ca="1">+WORLDCUP!BD65</f>
        <v>Saudi Arabia</v>
      </c>
      <c r="D333" s="9" t="str">
        <f ca="1">+WORLDCUP!BD64</f>
        <v>Egypt</v>
      </c>
      <c r="E333" s="9" t="str">
        <f ca="1">+WORLDCUP!BD59</f>
        <v>Switzerland</v>
      </c>
      <c r="F333" s="9" t="str">
        <f ca="1">+WORLDCUP!BD61</f>
        <v>Australia</v>
      </c>
      <c r="G333" s="9" t="str">
        <f ca="1">+WORLDCUP!BD58</f>
        <v>South Korea</v>
      </c>
      <c r="H333" s="9" t="str">
        <f ca="1">+WORLDCUP!BD63</f>
        <v>Tunisia</v>
      </c>
      <c r="I333" s="9" t="str">
        <f ca="1">+WORLDCUP!BD69</f>
        <v>Croatia</v>
      </c>
      <c r="J333" s="9" t="str">
        <f ca="1">+WORLDCUP!BD66</f>
        <v>Norway</v>
      </c>
      <c r="N333" s="16" t="s">
        <v>1124</v>
      </c>
      <c r="O333" s="16">
        <v>332</v>
      </c>
      <c r="P333" s="16" t="s">
        <v>118</v>
      </c>
      <c r="Q333" s="16" t="s">
        <v>113</v>
      </c>
      <c r="R333" s="16" t="s">
        <v>91</v>
      </c>
      <c r="S333" s="16" t="s">
        <v>100</v>
      </c>
      <c r="T333" s="16" t="s">
        <v>86</v>
      </c>
      <c r="U333" s="16" t="s">
        <v>109</v>
      </c>
      <c r="V333" s="16" t="s">
        <v>136</v>
      </c>
      <c r="W333" s="16" t="s">
        <v>122</v>
      </c>
    </row>
    <row r="334" spans="1:23">
      <c r="A334" s="9" t="s">
        <v>1125</v>
      </c>
      <c r="B334" s="9">
        <f ca="1">+IF(A334=WORLDCUP!$BI$112,1,0)</f>
        <v>0</v>
      </c>
      <c r="C334" s="9" t="str">
        <f ca="1">+WORLDCUP!BD65</f>
        <v>Saudi Arabia</v>
      </c>
      <c r="D334" s="9" t="str">
        <f ca="1">+WORLDCUP!BD64</f>
        <v>Egypt</v>
      </c>
      <c r="E334" s="9" t="str">
        <f ca="1">+WORLDCUP!BD59</f>
        <v>Switzerland</v>
      </c>
      <c r="F334" s="9" t="str">
        <f ca="1">+WORLDCUP!BD61</f>
        <v>Australia</v>
      </c>
      <c r="G334" s="9" t="str">
        <f ca="1">+WORLDCUP!BD58</f>
        <v>South Korea</v>
      </c>
      <c r="H334" s="9" t="str">
        <f ca="1">+WORLDCUP!BD63</f>
        <v>Tunisia</v>
      </c>
      <c r="I334" s="9" t="str">
        <f ca="1">+WORLDCUP!BD66</f>
        <v>Norway</v>
      </c>
      <c r="J334" s="9" t="str">
        <f ca="1">+WORLDCUP!BD68</f>
        <v>DR Congo</v>
      </c>
      <c r="N334" s="16" t="s">
        <v>1125</v>
      </c>
      <c r="O334" s="16">
        <v>333</v>
      </c>
      <c r="P334" s="16" t="s">
        <v>118</v>
      </c>
      <c r="Q334" s="16" t="s">
        <v>113</v>
      </c>
      <c r="R334" s="16" t="s">
        <v>91</v>
      </c>
      <c r="S334" s="16" t="s">
        <v>100</v>
      </c>
      <c r="T334" s="16" t="s">
        <v>86</v>
      </c>
      <c r="U334" s="16" t="s">
        <v>109</v>
      </c>
      <c r="V334" s="16" t="s">
        <v>122</v>
      </c>
      <c r="W334" s="16" t="s">
        <v>131</v>
      </c>
    </row>
    <row r="335" spans="1:23">
      <c r="A335" s="9" t="s">
        <v>1126</v>
      </c>
      <c r="B335" s="9">
        <f ca="1">+IF(A335=WORLDCUP!$BI$112,1,0)</f>
        <v>0</v>
      </c>
      <c r="C335" s="9" t="str">
        <f ca="1">+WORLDCUP!BD65</f>
        <v>Saudi Arabia</v>
      </c>
      <c r="D335" s="9" t="str">
        <f ca="1">+WORLDCUP!BD64</f>
        <v>Egypt</v>
      </c>
      <c r="E335" s="9" t="str">
        <f ca="1">+WORLDCUP!BD59</f>
        <v>Switzerland</v>
      </c>
      <c r="F335" s="9" t="str">
        <f ca="1">+WORLDCUP!BD61</f>
        <v>Australia</v>
      </c>
      <c r="G335" s="9" t="str">
        <f ca="1">+WORLDCUP!BD58</f>
        <v>South Korea</v>
      </c>
      <c r="H335" s="9" t="str">
        <f ca="1">+WORLDCUP!BD63</f>
        <v>Tunisia</v>
      </c>
      <c r="I335" s="9" t="str">
        <f ca="1">+WORLDCUP!BD66</f>
        <v>Norway</v>
      </c>
      <c r="J335" s="9" t="str">
        <f ca="1">+WORLDCUP!BD67</f>
        <v>Algeria</v>
      </c>
      <c r="N335" s="16" t="s">
        <v>1126</v>
      </c>
      <c r="O335" s="16">
        <v>334</v>
      </c>
      <c r="P335" s="16" t="s">
        <v>118</v>
      </c>
      <c r="Q335" s="16" t="s">
        <v>113</v>
      </c>
      <c r="R335" s="16" t="s">
        <v>91</v>
      </c>
      <c r="S335" s="16" t="s">
        <v>100</v>
      </c>
      <c r="T335" s="16" t="s">
        <v>86</v>
      </c>
      <c r="U335" s="16" t="s">
        <v>109</v>
      </c>
      <c r="V335" s="16" t="s">
        <v>122</v>
      </c>
      <c r="W335" s="16" t="s">
        <v>127</v>
      </c>
    </row>
    <row r="336" spans="1:23">
      <c r="A336" s="9" t="s">
        <v>1127</v>
      </c>
      <c r="B336" s="9">
        <f ca="1">+IF(A336=WORLDCUP!$BI$112,1,0)</f>
        <v>0</v>
      </c>
      <c r="C336" s="9" t="str">
        <f ca="1">+WORLDCUP!BD62</f>
        <v>Ivory Coast</v>
      </c>
      <c r="D336" s="9" t="str">
        <f ca="1">+WORLDCUP!BD67</f>
        <v>Algeria</v>
      </c>
      <c r="E336" s="9" t="str">
        <f ca="1">+WORLDCUP!BD59</f>
        <v>Switzerland</v>
      </c>
      <c r="F336" s="9" t="str">
        <f ca="1">+WORLDCUP!BD58</f>
        <v>South Korea</v>
      </c>
      <c r="G336" s="9" t="str">
        <f ca="1">+WORLDCUP!BD66</f>
        <v>Norway</v>
      </c>
      <c r="H336" s="9" t="str">
        <f ca="1">+WORLDCUP!BD61</f>
        <v>Australia</v>
      </c>
      <c r="I336" s="9" t="str">
        <f ca="1">+WORLDCUP!BD69</f>
        <v>Croatia</v>
      </c>
      <c r="J336" s="9" t="str">
        <f ca="1">+WORLDCUP!BD68</f>
        <v>DR Congo</v>
      </c>
      <c r="N336" s="16" t="s">
        <v>1127</v>
      </c>
      <c r="O336" s="16">
        <v>335</v>
      </c>
      <c r="P336" s="16" t="s">
        <v>104</v>
      </c>
      <c r="Q336" s="16" t="s">
        <v>127</v>
      </c>
      <c r="R336" s="16" t="s">
        <v>91</v>
      </c>
      <c r="S336" s="16" t="s">
        <v>86</v>
      </c>
      <c r="T336" s="16" t="s">
        <v>122</v>
      </c>
      <c r="U336" s="16" t="s">
        <v>100</v>
      </c>
      <c r="V336" s="16" t="s">
        <v>136</v>
      </c>
      <c r="W336" s="16" t="s">
        <v>131</v>
      </c>
    </row>
    <row r="337" spans="1:23">
      <c r="A337" s="9" t="s">
        <v>1128</v>
      </c>
      <c r="B337" s="9">
        <f ca="1">+IF(A337=WORLDCUP!$BI$112,1,0)</f>
        <v>0</v>
      </c>
      <c r="C337" s="9" t="str">
        <f ca="1">+WORLDCUP!BD62</f>
        <v>Ivory Coast</v>
      </c>
      <c r="D337" s="9" t="str">
        <f ca="1">+WORLDCUP!BD67</f>
        <v>Algeria</v>
      </c>
      <c r="E337" s="9" t="str">
        <f ca="1">+WORLDCUP!BD59</f>
        <v>Switzerland</v>
      </c>
      <c r="F337" s="9" t="str">
        <f ca="1">+WORLDCUP!BD61</f>
        <v>Australia</v>
      </c>
      <c r="G337" s="9" t="str">
        <f ca="1">+WORLDCUP!BD58</f>
        <v>South Korea</v>
      </c>
      <c r="H337" s="9" t="str">
        <f ca="1">+WORLDCUP!BD65</f>
        <v>Saudi Arabia</v>
      </c>
      <c r="I337" s="9" t="str">
        <f ca="1">+WORLDCUP!BD69</f>
        <v>Croatia</v>
      </c>
      <c r="J337" s="9" t="str">
        <f ca="1">+WORLDCUP!BD68</f>
        <v>DR Congo</v>
      </c>
      <c r="N337" s="16" t="s">
        <v>1128</v>
      </c>
      <c r="O337" s="16">
        <v>336</v>
      </c>
      <c r="P337" s="16" t="s">
        <v>104</v>
      </c>
      <c r="Q337" s="16" t="s">
        <v>127</v>
      </c>
      <c r="R337" s="16" t="s">
        <v>91</v>
      </c>
      <c r="S337" s="16" t="s">
        <v>100</v>
      </c>
      <c r="T337" s="16" t="s">
        <v>86</v>
      </c>
      <c r="U337" s="16" t="s">
        <v>118</v>
      </c>
      <c r="V337" s="16" t="s">
        <v>136</v>
      </c>
      <c r="W337" s="16" t="s">
        <v>131</v>
      </c>
    </row>
    <row r="338" spans="1:23">
      <c r="A338" s="9" t="s">
        <v>1129</v>
      </c>
      <c r="B338" s="9">
        <f ca="1">+IF(A338=WORLDCUP!$BI$112,1,0)</f>
        <v>0</v>
      </c>
      <c r="C338" s="9" t="str">
        <f ca="1">+WORLDCUP!BD62</f>
        <v>Ivory Coast</v>
      </c>
      <c r="D338" s="9" t="str">
        <f ca="1">+WORLDCUP!BD66</f>
        <v>Norway</v>
      </c>
      <c r="E338" s="9" t="str">
        <f ca="1">+WORLDCUP!BD59</f>
        <v>Switzerland</v>
      </c>
      <c r="F338" s="9" t="str">
        <f ca="1">+WORLDCUP!BD61</f>
        <v>Australia</v>
      </c>
      <c r="G338" s="9" t="str">
        <f ca="1">+WORLDCUP!BD58</f>
        <v>South Korea</v>
      </c>
      <c r="H338" s="9" t="str">
        <f ca="1">+WORLDCUP!BD65</f>
        <v>Saudi Arabia</v>
      </c>
      <c r="I338" s="9" t="str">
        <f ca="1">+WORLDCUP!BD69</f>
        <v>Croatia</v>
      </c>
      <c r="J338" s="9" t="str">
        <f ca="1">+WORLDCUP!BD68</f>
        <v>DR Congo</v>
      </c>
      <c r="N338" s="16" t="s">
        <v>1129</v>
      </c>
      <c r="O338" s="16">
        <v>337</v>
      </c>
      <c r="P338" s="16" t="s">
        <v>104</v>
      </c>
      <c r="Q338" s="16" t="s">
        <v>122</v>
      </c>
      <c r="R338" s="16" t="s">
        <v>91</v>
      </c>
      <c r="S338" s="16" t="s">
        <v>100</v>
      </c>
      <c r="T338" s="16" t="s">
        <v>86</v>
      </c>
      <c r="U338" s="16" t="s">
        <v>118</v>
      </c>
      <c r="V338" s="16" t="s">
        <v>136</v>
      </c>
      <c r="W338" s="16" t="s">
        <v>131</v>
      </c>
    </row>
    <row r="339" spans="1:23">
      <c r="A339" s="9" t="s">
        <v>1130</v>
      </c>
      <c r="B339" s="9">
        <f ca="1">+IF(A339=WORLDCUP!$BI$112,1,0)</f>
        <v>0</v>
      </c>
      <c r="C339" s="9" t="str">
        <f ca="1">+WORLDCUP!BD62</f>
        <v>Ivory Coast</v>
      </c>
      <c r="D339" s="9" t="str">
        <f ca="1">+WORLDCUP!BD67</f>
        <v>Algeria</v>
      </c>
      <c r="E339" s="9" t="str">
        <f ca="1">+WORLDCUP!BD59</f>
        <v>Switzerland</v>
      </c>
      <c r="F339" s="9" t="str">
        <f ca="1">+WORLDCUP!BD61</f>
        <v>Australia</v>
      </c>
      <c r="G339" s="9" t="str">
        <f ca="1">+WORLDCUP!BD58</f>
        <v>South Korea</v>
      </c>
      <c r="H339" s="9" t="str">
        <f ca="1">+WORLDCUP!BD65</f>
        <v>Saudi Arabia</v>
      </c>
      <c r="I339" s="9" t="str">
        <f ca="1">+WORLDCUP!BD69</f>
        <v>Croatia</v>
      </c>
      <c r="J339" s="9" t="str">
        <f ca="1">+WORLDCUP!BD66</f>
        <v>Norway</v>
      </c>
      <c r="N339" s="16" t="s">
        <v>1130</v>
      </c>
      <c r="O339" s="16">
        <v>338</v>
      </c>
      <c r="P339" s="16" t="s">
        <v>104</v>
      </c>
      <c r="Q339" s="16" t="s">
        <v>127</v>
      </c>
      <c r="R339" s="16" t="s">
        <v>91</v>
      </c>
      <c r="S339" s="16" t="s">
        <v>100</v>
      </c>
      <c r="T339" s="16" t="s">
        <v>86</v>
      </c>
      <c r="U339" s="16" t="s">
        <v>118</v>
      </c>
      <c r="V339" s="16" t="s">
        <v>136</v>
      </c>
      <c r="W339" s="16" t="s">
        <v>122</v>
      </c>
    </row>
    <row r="340" spans="1:23">
      <c r="A340" s="9" t="s">
        <v>1131</v>
      </c>
      <c r="B340" s="9">
        <f ca="1">+IF(A340=WORLDCUP!$BI$112,1,0)</f>
        <v>0</v>
      </c>
      <c r="C340" s="9" t="str">
        <f ca="1">+WORLDCUP!BD62</f>
        <v>Ivory Coast</v>
      </c>
      <c r="D340" s="9" t="str">
        <f ca="1">+WORLDCUP!BD67</f>
        <v>Algeria</v>
      </c>
      <c r="E340" s="9" t="str">
        <f ca="1">+WORLDCUP!BD59</f>
        <v>Switzerland</v>
      </c>
      <c r="F340" s="9" t="str">
        <f ca="1">+WORLDCUP!BD61</f>
        <v>Australia</v>
      </c>
      <c r="G340" s="9" t="str">
        <f ca="1">+WORLDCUP!BD58</f>
        <v>South Korea</v>
      </c>
      <c r="H340" s="9" t="str">
        <f ca="1">+WORLDCUP!BD65</f>
        <v>Saudi Arabia</v>
      </c>
      <c r="I340" s="9" t="str">
        <f ca="1">+WORLDCUP!BD66</f>
        <v>Norway</v>
      </c>
      <c r="J340" s="9" t="str">
        <f ca="1">+WORLDCUP!BD68</f>
        <v>DR Congo</v>
      </c>
      <c r="N340" s="16" t="s">
        <v>1131</v>
      </c>
      <c r="O340" s="16">
        <v>339</v>
      </c>
      <c r="P340" s="16" t="s">
        <v>104</v>
      </c>
      <c r="Q340" s="16" t="s">
        <v>127</v>
      </c>
      <c r="R340" s="16" t="s">
        <v>91</v>
      </c>
      <c r="S340" s="16" t="s">
        <v>100</v>
      </c>
      <c r="T340" s="16" t="s">
        <v>86</v>
      </c>
      <c r="U340" s="16" t="s">
        <v>118</v>
      </c>
      <c r="V340" s="16" t="s">
        <v>122</v>
      </c>
      <c r="W340" s="16" t="s">
        <v>131</v>
      </c>
    </row>
    <row r="341" spans="1:23">
      <c r="A341" s="9" t="s">
        <v>1132</v>
      </c>
      <c r="B341" s="9">
        <f ca="1">+IF(A341=WORLDCUP!$BI$112,1,0)</f>
        <v>0</v>
      </c>
      <c r="C341" s="9" t="str">
        <f ca="1">+WORLDCUP!BD62</f>
        <v>Ivory Coast</v>
      </c>
      <c r="D341" s="9" t="str">
        <f ca="1">+WORLDCUP!BD67</f>
        <v>Algeria</v>
      </c>
      <c r="E341" s="9" t="str">
        <f ca="1">+WORLDCUP!BD59</f>
        <v>Switzerland</v>
      </c>
      <c r="F341" s="9" t="str">
        <f ca="1">+WORLDCUP!BD61</f>
        <v>Australia</v>
      </c>
      <c r="G341" s="9" t="str">
        <f ca="1">+WORLDCUP!BD58</f>
        <v>South Korea</v>
      </c>
      <c r="H341" s="9" t="str">
        <f ca="1">+WORLDCUP!BD64</f>
        <v>Egypt</v>
      </c>
      <c r="I341" s="9" t="str">
        <f ca="1">+WORLDCUP!BD69</f>
        <v>Croatia</v>
      </c>
      <c r="J341" s="9" t="str">
        <f ca="1">+WORLDCUP!BD68</f>
        <v>DR Congo</v>
      </c>
      <c r="N341" s="16" t="s">
        <v>1132</v>
      </c>
      <c r="O341" s="16">
        <v>340</v>
      </c>
      <c r="P341" s="16" t="s">
        <v>104</v>
      </c>
      <c r="Q341" s="16" t="s">
        <v>127</v>
      </c>
      <c r="R341" s="16" t="s">
        <v>91</v>
      </c>
      <c r="S341" s="16" t="s">
        <v>100</v>
      </c>
      <c r="T341" s="16" t="s">
        <v>86</v>
      </c>
      <c r="U341" s="16" t="s">
        <v>113</v>
      </c>
      <c r="V341" s="16" t="s">
        <v>136</v>
      </c>
      <c r="W341" s="16" t="s">
        <v>131</v>
      </c>
    </row>
    <row r="342" spans="1:23">
      <c r="A342" s="9" t="s">
        <v>1133</v>
      </c>
      <c r="B342" s="9">
        <f ca="1">+IF(A342=WORLDCUP!$BI$112,1,0)</f>
        <v>0</v>
      </c>
      <c r="C342" s="9" t="str">
        <f ca="1">+WORLDCUP!BD62</f>
        <v>Ivory Coast</v>
      </c>
      <c r="D342" s="9" t="str">
        <f ca="1">+WORLDCUP!BD64</f>
        <v>Egypt</v>
      </c>
      <c r="E342" s="9" t="str">
        <f ca="1">+WORLDCUP!BD59</f>
        <v>Switzerland</v>
      </c>
      <c r="F342" s="9" t="str">
        <f ca="1">+WORLDCUP!BD58</f>
        <v>South Korea</v>
      </c>
      <c r="G342" s="9" t="str">
        <f ca="1">+WORLDCUP!BD66</f>
        <v>Norway</v>
      </c>
      <c r="H342" s="9" t="str">
        <f ca="1">+WORLDCUP!BD61</f>
        <v>Australia</v>
      </c>
      <c r="I342" s="9" t="str">
        <f ca="1">+WORLDCUP!BD69</f>
        <v>Croatia</v>
      </c>
      <c r="J342" s="9" t="str">
        <f ca="1">+WORLDCUP!BD68</f>
        <v>DR Congo</v>
      </c>
      <c r="N342" s="16" t="s">
        <v>1133</v>
      </c>
      <c r="O342" s="16">
        <v>341</v>
      </c>
      <c r="P342" s="16" t="s">
        <v>104</v>
      </c>
      <c r="Q342" s="16" t="s">
        <v>113</v>
      </c>
      <c r="R342" s="16" t="s">
        <v>91</v>
      </c>
      <c r="S342" s="16" t="s">
        <v>86</v>
      </c>
      <c r="T342" s="16" t="s">
        <v>122</v>
      </c>
      <c r="U342" s="16" t="s">
        <v>100</v>
      </c>
      <c r="V342" s="16" t="s">
        <v>136</v>
      </c>
      <c r="W342" s="16" t="s">
        <v>131</v>
      </c>
    </row>
    <row r="343" spans="1:23">
      <c r="A343" s="9" t="s">
        <v>1134</v>
      </c>
      <c r="B343" s="9">
        <f ca="1">+IF(A343=WORLDCUP!$BI$112,1,0)</f>
        <v>0</v>
      </c>
      <c r="C343" s="9" t="str">
        <f ca="1">+WORLDCUP!BD62</f>
        <v>Ivory Coast</v>
      </c>
      <c r="D343" s="9" t="str">
        <f ca="1">+WORLDCUP!BD67</f>
        <v>Algeria</v>
      </c>
      <c r="E343" s="9" t="str">
        <f ca="1">+WORLDCUP!BD59</f>
        <v>Switzerland</v>
      </c>
      <c r="F343" s="9" t="str">
        <f ca="1">+WORLDCUP!BD61</f>
        <v>Australia</v>
      </c>
      <c r="G343" s="9" t="str">
        <f ca="1">+WORLDCUP!BD58</f>
        <v>South Korea</v>
      </c>
      <c r="H343" s="9" t="str">
        <f ca="1">+WORLDCUP!BD64</f>
        <v>Egypt</v>
      </c>
      <c r="I343" s="9" t="str">
        <f ca="1">+WORLDCUP!BD69</f>
        <v>Croatia</v>
      </c>
      <c r="J343" s="9" t="str">
        <f ca="1">+WORLDCUP!BD66</f>
        <v>Norway</v>
      </c>
      <c r="N343" s="16" t="s">
        <v>1134</v>
      </c>
      <c r="O343" s="16">
        <v>342</v>
      </c>
      <c r="P343" s="16" t="s">
        <v>104</v>
      </c>
      <c r="Q343" s="16" t="s">
        <v>127</v>
      </c>
      <c r="R343" s="16" t="s">
        <v>91</v>
      </c>
      <c r="S343" s="16" t="s">
        <v>100</v>
      </c>
      <c r="T343" s="16" t="s">
        <v>86</v>
      </c>
      <c r="U343" s="16" t="s">
        <v>113</v>
      </c>
      <c r="V343" s="16" t="s">
        <v>136</v>
      </c>
      <c r="W343" s="16" t="s">
        <v>122</v>
      </c>
    </row>
    <row r="344" spans="1:23">
      <c r="A344" s="9" t="s">
        <v>1135</v>
      </c>
      <c r="B344" s="9">
        <f ca="1">+IF(A344=WORLDCUP!$BI$112,1,0)</f>
        <v>0</v>
      </c>
      <c r="C344" s="9" t="str">
        <f ca="1">+WORLDCUP!BD62</f>
        <v>Ivory Coast</v>
      </c>
      <c r="D344" s="9" t="str">
        <f ca="1">+WORLDCUP!BD67</f>
        <v>Algeria</v>
      </c>
      <c r="E344" s="9" t="str">
        <f ca="1">+WORLDCUP!BD59</f>
        <v>Switzerland</v>
      </c>
      <c r="F344" s="9" t="str">
        <f ca="1">+WORLDCUP!BD61</f>
        <v>Australia</v>
      </c>
      <c r="G344" s="9" t="str">
        <f ca="1">+WORLDCUP!BD58</f>
        <v>South Korea</v>
      </c>
      <c r="H344" s="9" t="str">
        <f ca="1">+WORLDCUP!BD64</f>
        <v>Egypt</v>
      </c>
      <c r="I344" s="9" t="str">
        <f ca="1">+WORLDCUP!BD66</f>
        <v>Norway</v>
      </c>
      <c r="J344" s="9" t="str">
        <f ca="1">+WORLDCUP!BD68</f>
        <v>DR Congo</v>
      </c>
      <c r="N344" s="16" t="s">
        <v>1135</v>
      </c>
      <c r="O344" s="16">
        <v>343</v>
      </c>
      <c r="P344" s="16" t="s">
        <v>104</v>
      </c>
      <c r="Q344" s="16" t="s">
        <v>127</v>
      </c>
      <c r="R344" s="16" t="s">
        <v>91</v>
      </c>
      <c r="S344" s="16" t="s">
        <v>100</v>
      </c>
      <c r="T344" s="16" t="s">
        <v>86</v>
      </c>
      <c r="U344" s="16" t="s">
        <v>113</v>
      </c>
      <c r="V344" s="16" t="s">
        <v>122</v>
      </c>
      <c r="W344" s="16" t="s">
        <v>131</v>
      </c>
    </row>
    <row r="345" spans="1:23">
      <c r="A345" s="9" t="s">
        <v>1136</v>
      </c>
      <c r="B345" s="9">
        <f ca="1">+IF(A345=WORLDCUP!$BI$112,1,0)</f>
        <v>0</v>
      </c>
      <c r="C345" s="9" t="str">
        <f ca="1">+WORLDCUP!BD62</f>
        <v>Ivory Coast</v>
      </c>
      <c r="D345" s="9" t="str">
        <f ca="1">+WORLDCUP!BD64</f>
        <v>Egypt</v>
      </c>
      <c r="E345" s="9" t="str">
        <f ca="1">+WORLDCUP!BD59</f>
        <v>Switzerland</v>
      </c>
      <c r="F345" s="9" t="str">
        <f ca="1">+WORLDCUP!BD61</f>
        <v>Australia</v>
      </c>
      <c r="G345" s="9" t="str">
        <f ca="1">+WORLDCUP!BD58</f>
        <v>South Korea</v>
      </c>
      <c r="H345" s="9" t="str">
        <f ca="1">+WORLDCUP!BD65</f>
        <v>Saudi Arabia</v>
      </c>
      <c r="I345" s="9" t="str">
        <f ca="1">+WORLDCUP!BD69</f>
        <v>Croatia</v>
      </c>
      <c r="J345" s="9" t="str">
        <f ca="1">+WORLDCUP!BD68</f>
        <v>DR Congo</v>
      </c>
      <c r="N345" s="16" t="s">
        <v>1136</v>
      </c>
      <c r="O345" s="16">
        <v>344</v>
      </c>
      <c r="P345" s="16" t="s">
        <v>104</v>
      </c>
      <c r="Q345" s="16" t="s">
        <v>113</v>
      </c>
      <c r="R345" s="16" t="s">
        <v>91</v>
      </c>
      <c r="S345" s="16" t="s">
        <v>100</v>
      </c>
      <c r="T345" s="16" t="s">
        <v>86</v>
      </c>
      <c r="U345" s="16" t="s">
        <v>118</v>
      </c>
      <c r="V345" s="16" t="s">
        <v>136</v>
      </c>
      <c r="W345" s="16" t="s">
        <v>131</v>
      </c>
    </row>
    <row r="346" spans="1:23">
      <c r="A346" s="9" t="s">
        <v>1137</v>
      </c>
      <c r="B346" s="9">
        <f ca="1">+IF(A346=WORLDCUP!$BI$112,1,0)</f>
        <v>0</v>
      </c>
      <c r="C346" s="9" t="str">
        <f ca="1">+WORLDCUP!BD65</f>
        <v>Saudi Arabia</v>
      </c>
      <c r="D346" s="9" t="str">
        <f ca="1">+WORLDCUP!BD67</f>
        <v>Algeria</v>
      </c>
      <c r="E346" s="9" t="str">
        <f ca="1">+WORLDCUP!BD59</f>
        <v>Switzerland</v>
      </c>
      <c r="F346" s="9" t="str">
        <f ca="1">+WORLDCUP!BD61</f>
        <v>Australia</v>
      </c>
      <c r="G346" s="9" t="str">
        <f ca="1">+WORLDCUP!BD58</f>
        <v>South Korea</v>
      </c>
      <c r="H346" s="9" t="str">
        <f ca="1">+WORLDCUP!BD64</f>
        <v>Egypt</v>
      </c>
      <c r="I346" s="9" t="str">
        <f ca="1">+WORLDCUP!BD69</f>
        <v>Croatia</v>
      </c>
      <c r="J346" s="9" t="str">
        <f ca="1">+WORLDCUP!BD62</f>
        <v>Ivory Coast</v>
      </c>
      <c r="N346" s="16" t="s">
        <v>1137</v>
      </c>
      <c r="O346" s="16">
        <v>345</v>
      </c>
      <c r="P346" s="16" t="s">
        <v>118</v>
      </c>
      <c r="Q346" s="16" t="s">
        <v>127</v>
      </c>
      <c r="R346" s="16" t="s">
        <v>91</v>
      </c>
      <c r="S346" s="16" t="s">
        <v>100</v>
      </c>
      <c r="T346" s="16" t="s">
        <v>86</v>
      </c>
      <c r="U346" s="16" t="s">
        <v>113</v>
      </c>
      <c r="V346" s="16" t="s">
        <v>136</v>
      </c>
      <c r="W346" s="16" t="s">
        <v>104</v>
      </c>
    </row>
    <row r="347" spans="1:23">
      <c r="A347" s="9" t="s">
        <v>1138</v>
      </c>
      <c r="B347" s="9">
        <f ca="1">+IF(A347=WORLDCUP!$BI$112,1,0)</f>
        <v>0</v>
      </c>
      <c r="C347" s="9" t="str">
        <f ca="1">+WORLDCUP!BD65</f>
        <v>Saudi Arabia</v>
      </c>
      <c r="D347" s="9" t="str">
        <f ca="1">+WORLDCUP!BD67</f>
        <v>Algeria</v>
      </c>
      <c r="E347" s="9" t="str">
        <f ca="1">+WORLDCUP!BD59</f>
        <v>Switzerland</v>
      </c>
      <c r="F347" s="9" t="str">
        <f ca="1">+WORLDCUP!BD61</f>
        <v>Australia</v>
      </c>
      <c r="G347" s="9" t="str">
        <f ca="1">+WORLDCUP!BD58</f>
        <v>South Korea</v>
      </c>
      <c r="H347" s="9" t="str">
        <f ca="1">+WORLDCUP!BD64</f>
        <v>Egypt</v>
      </c>
      <c r="I347" s="9" t="str">
        <f ca="1">+WORLDCUP!BD62</f>
        <v>Ivory Coast</v>
      </c>
      <c r="J347" s="9" t="str">
        <f ca="1">+WORLDCUP!BD68</f>
        <v>DR Congo</v>
      </c>
      <c r="N347" s="16" t="s">
        <v>1138</v>
      </c>
      <c r="O347" s="16">
        <v>346</v>
      </c>
      <c r="P347" s="16" t="s">
        <v>118</v>
      </c>
      <c r="Q347" s="16" t="s">
        <v>127</v>
      </c>
      <c r="R347" s="16" t="s">
        <v>91</v>
      </c>
      <c r="S347" s="16" t="s">
        <v>100</v>
      </c>
      <c r="T347" s="16" t="s">
        <v>86</v>
      </c>
      <c r="U347" s="16" t="s">
        <v>113</v>
      </c>
      <c r="V347" s="16" t="s">
        <v>104</v>
      </c>
      <c r="W347" s="16" t="s">
        <v>131</v>
      </c>
    </row>
    <row r="348" spans="1:23">
      <c r="A348" s="9" t="s">
        <v>1139</v>
      </c>
      <c r="B348" s="9">
        <f ca="1">+IF(A348=WORLDCUP!$BI$112,1,0)</f>
        <v>0</v>
      </c>
      <c r="C348" s="9" t="str">
        <f ca="1">+WORLDCUP!BD62</f>
        <v>Ivory Coast</v>
      </c>
      <c r="D348" s="9" t="str">
        <f ca="1">+WORLDCUP!BD64</f>
        <v>Egypt</v>
      </c>
      <c r="E348" s="9" t="str">
        <f ca="1">+WORLDCUP!BD59</f>
        <v>Switzerland</v>
      </c>
      <c r="F348" s="9" t="str">
        <f ca="1">+WORLDCUP!BD61</f>
        <v>Australia</v>
      </c>
      <c r="G348" s="9" t="str">
        <f ca="1">+WORLDCUP!BD58</f>
        <v>South Korea</v>
      </c>
      <c r="H348" s="9" t="str">
        <f ca="1">+WORLDCUP!BD65</f>
        <v>Saudi Arabia</v>
      </c>
      <c r="I348" s="9" t="str">
        <f ca="1">+WORLDCUP!BD69</f>
        <v>Croatia</v>
      </c>
      <c r="J348" s="9" t="str">
        <f ca="1">+WORLDCUP!BD66</f>
        <v>Norway</v>
      </c>
      <c r="N348" s="16" t="s">
        <v>1139</v>
      </c>
      <c r="O348" s="16">
        <v>347</v>
      </c>
      <c r="P348" s="16" t="s">
        <v>104</v>
      </c>
      <c r="Q348" s="16" t="s">
        <v>113</v>
      </c>
      <c r="R348" s="16" t="s">
        <v>91</v>
      </c>
      <c r="S348" s="16" t="s">
        <v>100</v>
      </c>
      <c r="T348" s="16" t="s">
        <v>86</v>
      </c>
      <c r="U348" s="16" t="s">
        <v>118</v>
      </c>
      <c r="V348" s="16" t="s">
        <v>136</v>
      </c>
      <c r="W348" s="16" t="s">
        <v>122</v>
      </c>
    </row>
    <row r="349" spans="1:23">
      <c r="A349" s="9" t="s">
        <v>1140</v>
      </c>
      <c r="B349" s="9">
        <f ca="1">+IF(A349=WORLDCUP!$BI$112,1,0)</f>
        <v>0</v>
      </c>
      <c r="C349" s="9" t="str">
        <f ca="1">+WORLDCUP!BD62</f>
        <v>Ivory Coast</v>
      </c>
      <c r="D349" s="9" t="str">
        <f ca="1">+WORLDCUP!BD64</f>
        <v>Egypt</v>
      </c>
      <c r="E349" s="9" t="str">
        <f ca="1">+WORLDCUP!BD59</f>
        <v>Switzerland</v>
      </c>
      <c r="F349" s="9" t="str">
        <f ca="1">+WORLDCUP!BD61</f>
        <v>Australia</v>
      </c>
      <c r="G349" s="9" t="str">
        <f ca="1">+WORLDCUP!BD58</f>
        <v>South Korea</v>
      </c>
      <c r="H349" s="9" t="str">
        <f ca="1">+WORLDCUP!BD65</f>
        <v>Saudi Arabia</v>
      </c>
      <c r="I349" s="9" t="str">
        <f ca="1">+WORLDCUP!BD66</f>
        <v>Norway</v>
      </c>
      <c r="J349" s="9" t="str">
        <f ca="1">+WORLDCUP!BD68</f>
        <v>DR Congo</v>
      </c>
      <c r="N349" s="16" t="s">
        <v>1140</v>
      </c>
      <c r="O349" s="16">
        <v>348</v>
      </c>
      <c r="P349" s="16" t="s">
        <v>104</v>
      </c>
      <c r="Q349" s="16" t="s">
        <v>113</v>
      </c>
      <c r="R349" s="16" t="s">
        <v>91</v>
      </c>
      <c r="S349" s="16" t="s">
        <v>100</v>
      </c>
      <c r="T349" s="16" t="s">
        <v>86</v>
      </c>
      <c r="U349" s="16" t="s">
        <v>118</v>
      </c>
      <c r="V349" s="16" t="s">
        <v>122</v>
      </c>
      <c r="W349" s="16" t="s">
        <v>131</v>
      </c>
    </row>
    <row r="350" spans="1:23">
      <c r="A350" s="9" t="s">
        <v>1141</v>
      </c>
      <c r="B350" s="9">
        <f ca="1">+IF(A350=WORLDCUP!$BI$112,1,0)</f>
        <v>0</v>
      </c>
      <c r="C350" s="9" t="str">
        <f ca="1">+WORLDCUP!BD65</f>
        <v>Saudi Arabia</v>
      </c>
      <c r="D350" s="9" t="str">
        <f ca="1">+WORLDCUP!BD67</f>
        <v>Algeria</v>
      </c>
      <c r="E350" s="9" t="str">
        <f ca="1">+WORLDCUP!BD59</f>
        <v>Switzerland</v>
      </c>
      <c r="F350" s="9" t="str">
        <f ca="1">+WORLDCUP!BD61</f>
        <v>Australia</v>
      </c>
      <c r="G350" s="9" t="str">
        <f ca="1">+WORLDCUP!BD58</f>
        <v>South Korea</v>
      </c>
      <c r="H350" s="9" t="str">
        <f ca="1">+WORLDCUP!BD64</f>
        <v>Egypt</v>
      </c>
      <c r="I350" s="9" t="str">
        <f ca="1">+WORLDCUP!BD62</f>
        <v>Ivory Coast</v>
      </c>
      <c r="J350" s="9" t="str">
        <f ca="1">+WORLDCUP!BD66</f>
        <v>Norway</v>
      </c>
      <c r="N350" s="16" t="s">
        <v>1141</v>
      </c>
      <c r="O350" s="16">
        <v>349</v>
      </c>
      <c r="P350" s="16" t="s">
        <v>118</v>
      </c>
      <c r="Q350" s="16" t="s">
        <v>127</v>
      </c>
      <c r="R350" s="16" t="s">
        <v>91</v>
      </c>
      <c r="S350" s="16" t="s">
        <v>100</v>
      </c>
      <c r="T350" s="16" t="s">
        <v>86</v>
      </c>
      <c r="U350" s="16" t="s">
        <v>113</v>
      </c>
      <c r="V350" s="16" t="s">
        <v>104</v>
      </c>
      <c r="W350" s="16" t="s">
        <v>122</v>
      </c>
    </row>
    <row r="351" spans="1:23">
      <c r="A351" s="9" t="s">
        <v>1142</v>
      </c>
      <c r="B351" s="9">
        <f ca="1">+IF(A351=WORLDCUP!$BI$112,1,0)</f>
        <v>0</v>
      </c>
      <c r="C351" s="9" t="str">
        <f ca="1">+WORLDCUP!BD62</f>
        <v>Ivory Coast</v>
      </c>
      <c r="D351" s="9" t="str">
        <f ca="1">+WORLDCUP!BD67</f>
        <v>Algeria</v>
      </c>
      <c r="E351" s="9" t="str">
        <f ca="1">+WORLDCUP!BD59</f>
        <v>Switzerland</v>
      </c>
      <c r="F351" s="9" t="str">
        <f ca="1">+WORLDCUP!BD61</f>
        <v>Australia</v>
      </c>
      <c r="G351" s="9" t="str">
        <f ca="1">+WORLDCUP!BD58</f>
        <v>South Korea</v>
      </c>
      <c r="H351" s="9" t="str">
        <f ca="1">+WORLDCUP!BD63</f>
        <v>Tunisia</v>
      </c>
      <c r="I351" s="9" t="str">
        <f ca="1">+WORLDCUP!BD69</f>
        <v>Croatia</v>
      </c>
      <c r="J351" s="9" t="str">
        <f ca="1">+WORLDCUP!BD68</f>
        <v>DR Congo</v>
      </c>
      <c r="N351" s="16" t="s">
        <v>1142</v>
      </c>
      <c r="O351" s="16">
        <v>350</v>
      </c>
      <c r="P351" s="16" t="s">
        <v>104</v>
      </c>
      <c r="Q351" s="16" t="s">
        <v>127</v>
      </c>
      <c r="R351" s="16" t="s">
        <v>91</v>
      </c>
      <c r="S351" s="16" t="s">
        <v>100</v>
      </c>
      <c r="T351" s="16" t="s">
        <v>86</v>
      </c>
      <c r="U351" s="16" t="s">
        <v>109</v>
      </c>
      <c r="V351" s="16" t="s">
        <v>136</v>
      </c>
      <c r="W351" s="16" t="s">
        <v>131</v>
      </c>
    </row>
    <row r="352" spans="1:23">
      <c r="A352" s="9" t="s">
        <v>1143</v>
      </c>
      <c r="B352" s="9">
        <f ca="1">+IF(A352=WORLDCUP!$BI$112,1,0)</f>
        <v>0</v>
      </c>
      <c r="C352" s="9" t="str">
        <f ca="1">+WORLDCUP!BD62</f>
        <v>Ivory Coast</v>
      </c>
      <c r="D352" s="9" t="str">
        <f ca="1">+WORLDCUP!BD66</f>
        <v>Norway</v>
      </c>
      <c r="E352" s="9" t="str">
        <f ca="1">+WORLDCUP!BD59</f>
        <v>Switzerland</v>
      </c>
      <c r="F352" s="9" t="str">
        <f ca="1">+WORLDCUP!BD61</f>
        <v>Australia</v>
      </c>
      <c r="G352" s="9" t="str">
        <f ca="1">+WORLDCUP!BD58</f>
        <v>South Korea</v>
      </c>
      <c r="H352" s="9" t="str">
        <f ca="1">+WORLDCUP!BD63</f>
        <v>Tunisia</v>
      </c>
      <c r="I352" s="9" t="str">
        <f ca="1">+WORLDCUP!BD69</f>
        <v>Croatia</v>
      </c>
      <c r="J352" s="9" t="str">
        <f ca="1">+WORLDCUP!BD68</f>
        <v>DR Congo</v>
      </c>
      <c r="N352" s="16" t="s">
        <v>1143</v>
      </c>
      <c r="O352" s="16">
        <v>351</v>
      </c>
      <c r="P352" s="16" t="s">
        <v>104</v>
      </c>
      <c r="Q352" s="16" t="s">
        <v>122</v>
      </c>
      <c r="R352" s="16" t="s">
        <v>91</v>
      </c>
      <c r="S352" s="16" t="s">
        <v>100</v>
      </c>
      <c r="T352" s="16" t="s">
        <v>86</v>
      </c>
      <c r="U352" s="16" t="s">
        <v>109</v>
      </c>
      <c r="V352" s="16" t="s">
        <v>136</v>
      </c>
      <c r="W352" s="16" t="s">
        <v>131</v>
      </c>
    </row>
    <row r="353" spans="1:23">
      <c r="A353" s="9" t="s">
        <v>1144</v>
      </c>
      <c r="B353" s="9">
        <f ca="1">+IF(A353=WORLDCUP!$BI$112,1,0)</f>
        <v>0</v>
      </c>
      <c r="C353" s="9" t="str">
        <f ca="1">+WORLDCUP!BD62</f>
        <v>Ivory Coast</v>
      </c>
      <c r="D353" s="9" t="str">
        <f ca="1">+WORLDCUP!BD67</f>
        <v>Algeria</v>
      </c>
      <c r="E353" s="9" t="str">
        <f ca="1">+WORLDCUP!BD59</f>
        <v>Switzerland</v>
      </c>
      <c r="F353" s="9" t="str">
        <f ca="1">+WORLDCUP!BD61</f>
        <v>Australia</v>
      </c>
      <c r="G353" s="9" t="str">
        <f ca="1">+WORLDCUP!BD58</f>
        <v>South Korea</v>
      </c>
      <c r="H353" s="9" t="str">
        <f ca="1">+WORLDCUP!BD63</f>
        <v>Tunisia</v>
      </c>
      <c r="I353" s="9" t="str">
        <f ca="1">+WORLDCUP!BD69</f>
        <v>Croatia</v>
      </c>
      <c r="J353" s="9" t="str">
        <f ca="1">+WORLDCUP!BD66</f>
        <v>Norway</v>
      </c>
      <c r="N353" s="16" t="s">
        <v>1144</v>
      </c>
      <c r="O353" s="16">
        <v>352</v>
      </c>
      <c r="P353" s="16" t="s">
        <v>104</v>
      </c>
      <c r="Q353" s="16" t="s">
        <v>127</v>
      </c>
      <c r="R353" s="16" t="s">
        <v>91</v>
      </c>
      <c r="S353" s="16" t="s">
        <v>100</v>
      </c>
      <c r="T353" s="16" t="s">
        <v>86</v>
      </c>
      <c r="U353" s="16" t="s">
        <v>109</v>
      </c>
      <c r="V353" s="16" t="s">
        <v>136</v>
      </c>
      <c r="W353" s="16" t="s">
        <v>122</v>
      </c>
    </row>
    <row r="354" spans="1:23">
      <c r="A354" s="9" t="s">
        <v>1145</v>
      </c>
      <c r="B354" s="9">
        <f ca="1">+IF(A354=WORLDCUP!$BI$112,1,0)</f>
        <v>0</v>
      </c>
      <c r="C354" s="9" t="str">
        <f ca="1">+WORLDCUP!BD62</f>
        <v>Ivory Coast</v>
      </c>
      <c r="D354" s="9" t="str">
        <f ca="1">+WORLDCUP!BD67</f>
        <v>Algeria</v>
      </c>
      <c r="E354" s="9" t="str">
        <f ca="1">+WORLDCUP!BD59</f>
        <v>Switzerland</v>
      </c>
      <c r="F354" s="9" t="str">
        <f ca="1">+WORLDCUP!BD61</f>
        <v>Australia</v>
      </c>
      <c r="G354" s="9" t="str">
        <f ca="1">+WORLDCUP!BD58</f>
        <v>South Korea</v>
      </c>
      <c r="H354" s="9" t="str">
        <f ca="1">+WORLDCUP!BD63</f>
        <v>Tunisia</v>
      </c>
      <c r="I354" s="9" t="str">
        <f ca="1">+WORLDCUP!BD66</f>
        <v>Norway</v>
      </c>
      <c r="J354" s="9" t="str">
        <f ca="1">+WORLDCUP!BD68</f>
        <v>DR Congo</v>
      </c>
      <c r="N354" s="16" t="s">
        <v>1145</v>
      </c>
      <c r="O354" s="16">
        <v>353</v>
      </c>
      <c r="P354" s="16" t="s">
        <v>104</v>
      </c>
      <c r="Q354" s="16" t="s">
        <v>127</v>
      </c>
      <c r="R354" s="16" t="s">
        <v>91</v>
      </c>
      <c r="S354" s="16" t="s">
        <v>100</v>
      </c>
      <c r="T354" s="16" t="s">
        <v>86</v>
      </c>
      <c r="U354" s="16" t="s">
        <v>109</v>
      </c>
      <c r="V354" s="16" t="s">
        <v>122</v>
      </c>
      <c r="W354" s="16" t="s">
        <v>131</v>
      </c>
    </row>
    <row r="355" spans="1:23">
      <c r="A355" s="9" t="s">
        <v>1146</v>
      </c>
      <c r="B355" s="9">
        <f ca="1">+IF(A355=WORLDCUP!$BI$112,1,0)</f>
        <v>0</v>
      </c>
      <c r="C355" s="9" t="str">
        <f ca="1">+WORLDCUP!BD65</f>
        <v>Saudi Arabia</v>
      </c>
      <c r="D355" s="9" t="str">
        <f ca="1">+WORLDCUP!BD62</f>
        <v>Ivory Coast</v>
      </c>
      <c r="E355" s="9" t="str">
        <f ca="1">+WORLDCUP!BD59</f>
        <v>Switzerland</v>
      </c>
      <c r="F355" s="9" t="str">
        <f ca="1">+WORLDCUP!BD61</f>
        <v>Australia</v>
      </c>
      <c r="G355" s="9" t="str">
        <f ca="1">+WORLDCUP!BD58</f>
        <v>South Korea</v>
      </c>
      <c r="H355" s="9" t="str">
        <f ca="1">+WORLDCUP!BD63</f>
        <v>Tunisia</v>
      </c>
      <c r="I355" s="9" t="str">
        <f ca="1">+WORLDCUP!BD69</f>
        <v>Croatia</v>
      </c>
      <c r="J355" s="9" t="str">
        <f ca="1">+WORLDCUP!BD68</f>
        <v>DR Congo</v>
      </c>
      <c r="N355" s="16" t="s">
        <v>1146</v>
      </c>
      <c r="O355" s="16">
        <v>354</v>
      </c>
      <c r="P355" s="16" t="s">
        <v>118</v>
      </c>
      <c r="Q355" s="16" t="s">
        <v>104</v>
      </c>
      <c r="R355" s="16" t="s">
        <v>91</v>
      </c>
      <c r="S355" s="16" t="s">
        <v>100</v>
      </c>
      <c r="T355" s="16" t="s">
        <v>86</v>
      </c>
      <c r="U355" s="16" t="s">
        <v>109</v>
      </c>
      <c r="V355" s="16" t="s">
        <v>136</v>
      </c>
      <c r="W355" s="16" t="s">
        <v>131</v>
      </c>
    </row>
    <row r="356" spans="1:23">
      <c r="A356" s="9" t="s">
        <v>1147</v>
      </c>
      <c r="B356" s="9">
        <f ca="1">+IF(A356=WORLDCUP!$BI$112,1,0)</f>
        <v>0</v>
      </c>
      <c r="C356" s="9" t="str">
        <f ca="1">+WORLDCUP!BD65</f>
        <v>Saudi Arabia</v>
      </c>
      <c r="D356" s="9" t="str">
        <f ca="1">+WORLDCUP!BD67</f>
        <v>Algeria</v>
      </c>
      <c r="E356" s="9" t="str">
        <f ca="1">+WORLDCUP!BD59</f>
        <v>Switzerland</v>
      </c>
      <c r="F356" s="9" t="str">
        <f ca="1">+WORLDCUP!BD61</f>
        <v>Australia</v>
      </c>
      <c r="G356" s="9" t="str">
        <f ca="1">+WORLDCUP!BD58</f>
        <v>South Korea</v>
      </c>
      <c r="H356" s="9" t="str">
        <f ca="1">+WORLDCUP!BD63</f>
        <v>Tunisia</v>
      </c>
      <c r="I356" s="9" t="str">
        <f ca="1">+WORLDCUP!BD69</f>
        <v>Croatia</v>
      </c>
      <c r="J356" s="9" t="str">
        <f ca="1">+WORLDCUP!BD62</f>
        <v>Ivory Coast</v>
      </c>
      <c r="N356" s="16" t="s">
        <v>1147</v>
      </c>
      <c r="O356" s="16">
        <v>355</v>
      </c>
      <c r="P356" s="16" t="s">
        <v>118</v>
      </c>
      <c r="Q356" s="16" t="s">
        <v>127</v>
      </c>
      <c r="R356" s="16" t="s">
        <v>91</v>
      </c>
      <c r="S356" s="16" t="s">
        <v>100</v>
      </c>
      <c r="T356" s="16" t="s">
        <v>86</v>
      </c>
      <c r="U356" s="16" t="s">
        <v>109</v>
      </c>
      <c r="V356" s="16" t="s">
        <v>136</v>
      </c>
      <c r="W356" s="16" t="s">
        <v>104</v>
      </c>
    </row>
    <row r="357" spans="1:23">
      <c r="A357" s="9" t="s">
        <v>1148</v>
      </c>
      <c r="B357" s="9">
        <f ca="1">+IF(A357=WORLDCUP!$BI$112,1,0)</f>
        <v>0</v>
      </c>
      <c r="C357" s="9" t="str">
        <f ca="1">+WORLDCUP!BD65</f>
        <v>Saudi Arabia</v>
      </c>
      <c r="D357" s="9" t="str">
        <f ca="1">+WORLDCUP!BD67</f>
        <v>Algeria</v>
      </c>
      <c r="E357" s="9" t="str">
        <f ca="1">+WORLDCUP!BD59</f>
        <v>Switzerland</v>
      </c>
      <c r="F357" s="9" t="str">
        <f ca="1">+WORLDCUP!BD61</f>
        <v>Australia</v>
      </c>
      <c r="G357" s="9" t="str">
        <f ca="1">+WORLDCUP!BD58</f>
        <v>South Korea</v>
      </c>
      <c r="H357" s="9" t="str">
        <f ca="1">+WORLDCUP!BD63</f>
        <v>Tunisia</v>
      </c>
      <c r="I357" s="9" t="str">
        <f ca="1">+WORLDCUP!BD62</f>
        <v>Ivory Coast</v>
      </c>
      <c r="J357" s="9" t="str">
        <f ca="1">+WORLDCUP!BD68</f>
        <v>DR Congo</v>
      </c>
      <c r="N357" s="16" t="s">
        <v>1148</v>
      </c>
      <c r="O357" s="16">
        <v>356</v>
      </c>
      <c r="P357" s="16" t="s">
        <v>118</v>
      </c>
      <c r="Q357" s="16" t="s">
        <v>127</v>
      </c>
      <c r="R357" s="16" t="s">
        <v>91</v>
      </c>
      <c r="S357" s="16" t="s">
        <v>100</v>
      </c>
      <c r="T357" s="16" t="s">
        <v>86</v>
      </c>
      <c r="U357" s="16" t="s">
        <v>109</v>
      </c>
      <c r="V357" s="16" t="s">
        <v>104</v>
      </c>
      <c r="W357" s="16" t="s">
        <v>131</v>
      </c>
    </row>
    <row r="358" spans="1:23">
      <c r="A358" s="9" t="s">
        <v>1149</v>
      </c>
      <c r="B358" s="9">
        <f ca="1">+IF(A358=WORLDCUP!$BI$112,1,0)</f>
        <v>0</v>
      </c>
      <c r="C358" s="9" t="str">
        <f ca="1">+WORLDCUP!BD65</f>
        <v>Saudi Arabia</v>
      </c>
      <c r="D358" s="9" t="str">
        <f ca="1">+WORLDCUP!BD62</f>
        <v>Ivory Coast</v>
      </c>
      <c r="E358" s="9" t="str">
        <f ca="1">+WORLDCUP!BD59</f>
        <v>Switzerland</v>
      </c>
      <c r="F358" s="9" t="str">
        <f ca="1">+WORLDCUP!BD61</f>
        <v>Australia</v>
      </c>
      <c r="G358" s="9" t="str">
        <f ca="1">+WORLDCUP!BD58</f>
        <v>South Korea</v>
      </c>
      <c r="H358" s="9" t="str">
        <f ca="1">+WORLDCUP!BD63</f>
        <v>Tunisia</v>
      </c>
      <c r="I358" s="9" t="str">
        <f ca="1">+WORLDCUP!BD69</f>
        <v>Croatia</v>
      </c>
      <c r="J358" s="9" t="str">
        <f ca="1">+WORLDCUP!BD66</f>
        <v>Norway</v>
      </c>
      <c r="N358" s="16" t="s">
        <v>1149</v>
      </c>
      <c r="O358" s="16">
        <v>357</v>
      </c>
      <c r="P358" s="16" t="s">
        <v>118</v>
      </c>
      <c r="Q358" s="16" t="s">
        <v>104</v>
      </c>
      <c r="R358" s="16" t="s">
        <v>91</v>
      </c>
      <c r="S358" s="16" t="s">
        <v>100</v>
      </c>
      <c r="T358" s="16" t="s">
        <v>86</v>
      </c>
      <c r="U358" s="16" t="s">
        <v>109</v>
      </c>
      <c r="V358" s="16" t="s">
        <v>136</v>
      </c>
      <c r="W358" s="16" t="s">
        <v>122</v>
      </c>
    </row>
    <row r="359" spans="1:23">
      <c r="A359" s="9" t="s">
        <v>1150</v>
      </c>
      <c r="B359" s="9">
        <f ca="1">+IF(A359=WORLDCUP!$BI$112,1,0)</f>
        <v>0</v>
      </c>
      <c r="C359" s="9" t="str">
        <f ca="1">+WORLDCUP!BD65</f>
        <v>Saudi Arabia</v>
      </c>
      <c r="D359" s="9" t="str">
        <f ca="1">+WORLDCUP!BD62</f>
        <v>Ivory Coast</v>
      </c>
      <c r="E359" s="9" t="str">
        <f ca="1">+WORLDCUP!BD59</f>
        <v>Switzerland</v>
      </c>
      <c r="F359" s="9" t="str">
        <f ca="1">+WORLDCUP!BD61</f>
        <v>Australia</v>
      </c>
      <c r="G359" s="9" t="str">
        <f ca="1">+WORLDCUP!BD58</f>
        <v>South Korea</v>
      </c>
      <c r="H359" s="9" t="str">
        <f ca="1">+WORLDCUP!BD63</f>
        <v>Tunisia</v>
      </c>
      <c r="I359" s="9" t="str">
        <f ca="1">+WORLDCUP!BD66</f>
        <v>Norway</v>
      </c>
      <c r="J359" s="9" t="str">
        <f ca="1">+WORLDCUP!BD68</f>
        <v>DR Congo</v>
      </c>
      <c r="N359" s="16" t="s">
        <v>1150</v>
      </c>
      <c r="O359" s="16">
        <v>358</v>
      </c>
      <c r="P359" s="16" t="s">
        <v>118</v>
      </c>
      <c r="Q359" s="16" t="s">
        <v>104</v>
      </c>
      <c r="R359" s="16" t="s">
        <v>91</v>
      </c>
      <c r="S359" s="16" t="s">
        <v>100</v>
      </c>
      <c r="T359" s="16" t="s">
        <v>86</v>
      </c>
      <c r="U359" s="16" t="s">
        <v>109</v>
      </c>
      <c r="V359" s="16" t="s">
        <v>122</v>
      </c>
      <c r="W359" s="16" t="s">
        <v>131</v>
      </c>
    </row>
    <row r="360" spans="1:23">
      <c r="A360" s="9" t="s">
        <v>1151</v>
      </c>
      <c r="B360" s="9">
        <f ca="1">+IF(A360=WORLDCUP!$BI$112,1,0)</f>
        <v>0</v>
      </c>
      <c r="C360" s="9" t="str">
        <f ca="1">+WORLDCUP!BD65</f>
        <v>Saudi Arabia</v>
      </c>
      <c r="D360" s="9" t="str">
        <f ca="1">+WORLDCUP!BD67</f>
        <v>Algeria</v>
      </c>
      <c r="E360" s="9" t="str">
        <f ca="1">+WORLDCUP!BD59</f>
        <v>Switzerland</v>
      </c>
      <c r="F360" s="9" t="str">
        <f ca="1">+WORLDCUP!BD61</f>
        <v>Australia</v>
      </c>
      <c r="G360" s="9" t="str">
        <f ca="1">+WORLDCUP!BD58</f>
        <v>South Korea</v>
      </c>
      <c r="H360" s="9" t="str">
        <f ca="1">+WORLDCUP!BD63</f>
        <v>Tunisia</v>
      </c>
      <c r="I360" s="9" t="str">
        <f ca="1">+WORLDCUP!BD62</f>
        <v>Ivory Coast</v>
      </c>
      <c r="J360" s="9" t="str">
        <f ca="1">+WORLDCUP!BD66</f>
        <v>Norway</v>
      </c>
      <c r="N360" s="16" t="s">
        <v>1151</v>
      </c>
      <c r="O360" s="16">
        <v>359</v>
      </c>
      <c r="P360" s="16" t="s">
        <v>118</v>
      </c>
      <c r="Q360" s="16" t="s">
        <v>127</v>
      </c>
      <c r="R360" s="16" t="s">
        <v>91</v>
      </c>
      <c r="S360" s="16" t="s">
        <v>100</v>
      </c>
      <c r="T360" s="16" t="s">
        <v>86</v>
      </c>
      <c r="U360" s="16" t="s">
        <v>109</v>
      </c>
      <c r="V360" s="16" t="s">
        <v>104</v>
      </c>
      <c r="W360" s="16" t="s">
        <v>122</v>
      </c>
    </row>
    <row r="361" spans="1:23">
      <c r="A361" s="9" t="s">
        <v>1152</v>
      </c>
      <c r="B361" s="9">
        <f ca="1">+IF(A361=WORLDCUP!$BI$112,1,0)</f>
        <v>0</v>
      </c>
      <c r="C361" s="9" t="str">
        <f ca="1">+WORLDCUP!BD62</f>
        <v>Ivory Coast</v>
      </c>
      <c r="D361" s="9" t="str">
        <f ca="1">+WORLDCUP!BD64</f>
        <v>Egypt</v>
      </c>
      <c r="E361" s="9" t="str">
        <f ca="1">+WORLDCUP!BD59</f>
        <v>Switzerland</v>
      </c>
      <c r="F361" s="9" t="str">
        <f ca="1">+WORLDCUP!BD61</f>
        <v>Australia</v>
      </c>
      <c r="G361" s="9" t="str">
        <f ca="1">+WORLDCUP!BD58</f>
        <v>South Korea</v>
      </c>
      <c r="H361" s="9" t="str">
        <f ca="1">+WORLDCUP!BD63</f>
        <v>Tunisia</v>
      </c>
      <c r="I361" s="9" t="str">
        <f ca="1">+WORLDCUP!BD69</f>
        <v>Croatia</v>
      </c>
      <c r="J361" s="9" t="str">
        <f ca="1">+WORLDCUP!BD68</f>
        <v>DR Congo</v>
      </c>
      <c r="N361" s="16" t="s">
        <v>1152</v>
      </c>
      <c r="O361" s="16">
        <v>360</v>
      </c>
      <c r="P361" s="16" t="s">
        <v>104</v>
      </c>
      <c r="Q361" s="16" t="s">
        <v>113</v>
      </c>
      <c r="R361" s="16" t="s">
        <v>91</v>
      </c>
      <c r="S361" s="16" t="s">
        <v>100</v>
      </c>
      <c r="T361" s="16" t="s">
        <v>86</v>
      </c>
      <c r="U361" s="16" t="s">
        <v>109</v>
      </c>
      <c r="V361" s="16" t="s">
        <v>136</v>
      </c>
      <c r="W361" s="16" t="s">
        <v>131</v>
      </c>
    </row>
    <row r="362" spans="1:23">
      <c r="A362" s="9" t="s">
        <v>1153</v>
      </c>
      <c r="B362" s="9">
        <f ca="1">+IF(A362=WORLDCUP!$BI$112,1,0)</f>
        <v>0</v>
      </c>
      <c r="C362" s="9" t="str">
        <f ca="1">+WORLDCUP!BD62</f>
        <v>Ivory Coast</v>
      </c>
      <c r="D362" s="9" t="str">
        <f ca="1">+WORLDCUP!BD64</f>
        <v>Egypt</v>
      </c>
      <c r="E362" s="9" t="str">
        <f ca="1">+WORLDCUP!BD59</f>
        <v>Switzerland</v>
      </c>
      <c r="F362" s="9" t="str">
        <f ca="1">+WORLDCUP!BD61</f>
        <v>Australia</v>
      </c>
      <c r="G362" s="9" t="str">
        <f ca="1">+WORLDCUP!BD58</f>
        <v>South Korea</v>
      </c>
      <c r="H362" s="9" t="str">
        <f ca="1">+WORLDCUP!BD63</f>
        <v>Tunisia</v>
      </c>
      <c r="I362" s="9" t="str">
        <f ca="1">+WORLDCUP!BD69</f>
        <v>Croatia</v>
      </c>
      <c r="J362" s="9" t="str">
        <f ca="1">+WORLDCUP!BD67</f>
        <v>Algeria</v>
      </c>
      <c r="N362" s="16" t="s">
        <v>1153</v>
      </c>
      <c r="O362" s="16">
        <v>361</v>
      </c>
      <c r="P362" s="16" t="s">
        <v>104</v>
      </c>
      <c r="Q362" s="16" t="s">
        <v>113</v>
      </c>
      <c r="R362" s="16" t="s">
        <v>91</v>
      </c>
      <c r="S362" s="16" t="s">
        <v>100</v>
      </c>
      <c r="T362" s="16" t="s">
        <v>86</v>
      </c>
      <c r="U362" s="16" t="s">
        <v>109</v>
      </c>
      <c r="V362" s="16" t="s">
        <v>136</v>
      </c>
      <c r="W362" s="16" t="s">
        <v>127</v>
      </c>
    </row>
    <row r="363" spans="1:23">
      <c r="A363" s="9" t="s">
        <v>1154</v>
      </c>
      <c r="B363" s="9">
        <f ca="1">+IF(A363=WORLDCUP!$BI$112,1,0)</f>
        <v>0</v>
      </c>
      <c r="C363" s="9" t="str">
        <f ca="1">+WORLDCUP!BD62</f>
        <v>Ivory Coast</v>
      </c>
      <c r="D363" s="9" t="str">
        <f ca="1">+WORLDCUP!BD64</f>
        <v>Egypt</v>
      </c>
      <c r="E363" s="9" t="str">
        <f ca="1">+WORLDCUP!BD59</f>
        <v>Switzerland</v>
      </c>
      <c r="F363" s="9" t="str">
        <f ca="1">+WORLDCUP!BD61</f>
        <v>Australia</v>
      </c>
      <c r="G363" s="9" t="str">
        <f ca="1">+WORLDCUP!BD58</f>
        <v>South Korea</v>
      </c>
      <c r="H363" s="9" t="str">
        <f ca="1">+WORLDCUP!BD63</f>
        <v>Tunisia</v>
      </c>
      <c r="I363" s="9" t="str">
        <f ca="1">+WORLDCUP!BD67</f>
        <v>Algeria</v>
      </c>
      <c r="J363" s="9" t="str">
        <f ca="1">+WORLDCUP!BD68</f>
        <v>DR Congo</v>
      </c>
      <c r="N363" s="16" t="s">
        <v>1154</v>
      </c>
      <c r="O363" s="16">
        <v>362</v>
      </c>
      <c r="P363" s="16" t="s">
        <v>104</v>
      </c>
      <c r="Q363" s="16" t="s">
        <v>113</v>
      </c>
      <c r="R363" s="16" t="s">
        <v>91</v>
      </c>
      <c r="S363" s="16" t="s">
        <v>100</v>
      </c>
      <c r="T363" s="16" t="s">
        <v>86</v>
      </c>
      <c r="U363" s="16" t="s">
        <v>109</v>
      </c>
      <c r="V363" s="16" t="s">
        <v>127</v>
      </c>
      <c r="W363" s="16" t="s">
        <v>131</v>
      </c>
    </row>
    <row r="364" spans="1:23">
      <c r="A364" s="9" t="s">
        <v>1155</v>
      </c>
      <c r="B364" s="9">
        <f ca="1">+IF(A364=WORLDCUP!$BI$112,1,0)</f>
        <v>0</v>
      </c>
      <c r="C364" s="9" t="str">
        <f ca="1">+WORLDCUP!BD62</f>
        <v>Ivory Coast</v>
      </c>
      <c r="D364" s="9" t="str">
        <f ca="1">+WORLDCUP!BD64</f>
        <v>Egypt</v>
      </c>
      <c r="E364" s="9" t="str">
        <f ca="1">+WORLDCUP!BD59</f>
        <v>Switzerland</v>
      </c>
      <c r="F364" s="9" t="str">
        <f ca="1">+WORLDCUP!BD61</f>
        <v>Australia</v>
      </c>
      <c r="G364" s="9" t="str">
        <f ca="1">+WORLDCUP!BD58</f>
        <v>South Korea</v>
      </c>
      <c r="H364" s="9" t="str">
        <f ca="1">+WORLDCUP!BD63</f>
        <v>Tunisia</v>
      </c>
      <c r="I364" s="9" t="str">
        <f ca="1">+WORLDCUP!BD69</f>
        <v>Croatia</v>
      </c>
      <c r="J364" s="9" t="str">
        <f ca="1">+WORLDCUP!BD66</f>
        <v>Norway</v>
      </c>
      <c r="N364" s="16" t="s">
        <v>1155</v>
      </c>
      <c r="O364" s="16">
        <v>363</v>
      </c>
      <c r="P364" s="16" t="s">
        <v>104</v>
      </c>
      <c r="Q364" s="16" t="s">
        <v>113</v>
      </c>
      <c r="R364" s="16" t="s">
        <v>91</v>
      </c>
      <c r="S364" s="16" t="s">
        <v>100</v>
      </c>
      <c r="T364" s="16" t="s">
        <v>86</v>
      </c>
      <c r="U364" s="16" t="s">
        <v>109</v>
      </c>
      <c r="V364" s="16" t="s">
        <v>136</v>
      </c>
      <c r="W364" s="16" t="s">
        <v>122</v>
      </c>
    </row>
    <row r="365" spans="1:23">
      <c r="A365" s="9" t="s">
        <v>1156</v>
      </c>
      <c r="B365" s="9">
        <f ca="1">+IF(A365=WORLDCUP!$BI$112,1,0)</f>
        <v>0</v>
      </c>
      <c r="C365" s="9" t="str">
        <f ca="1">+WORLDCUP!BD62</f>
        <v>Ivory Coast</v>
      </c>
      <c r="D365" s="9" t="str">
        <f ca="1">+WORLDCUP!BD64</f>
        <v>Egypt</v>
      </c>
      <c r="E365" s="9" t="str">
        <f ca="1">+WORLDCUP!BD59</f>
        <v>Switzerland</v>
      </c>
      <c r="F365" s="9" t="str">
        <f ca="1">+WORLDCUP!BD61</f>
        <v>Australia</v>
      </c>
      <c r="G365" s="9" t="str">
        <f ca="1">+WORLDCUP!BD58</f>
        <v>South Korea</v>
      </c>
      <c r="H365" s="9" t="str">
        <f ca="1">+WORLDCUP!BD63</f>
        <v>Tunisia</v>
      </c>
      <c r="I365" s="9" t="str">
        <f ca="1">+WORLDCUP!BD66</f>
        <v>Norway</v>
      </c>
      <c r="J365" s="9" t="str">
        <f ca="1">+WORLDCUP!BD68</f>
        <v>DR Congo</v>
      </c>
      <c r="N365" s="16" t="s">
        <v>1156</v>
      </c>
      <c r="O365" s="16">
        <v>364</v>
      </c>
      <c r="P365" s="16" t="s">
        <v>104</v>
      </c>
      <c r="Q365" s="16" t="s">
        <v>113</v>
      </c>
      <c r="R365" s="16" t="s">
        <v>91</v>
      </c>
      <c r="S365" s="16" t="s">
        <v>100</v>
      </c>
      <c r="T365" s="16" t="s">
        <v>86</v>
      </c>
      <c r="U365" s="16" t="s">
        <v>109</v>
      </c>
      <c r="V365" s="16" t="s">
        <v>122</v>
      </c>
      <c r="W365" s="16" t="s">
        <v>131</v>
      </c>
    </row>
    <row r="366" spans="1:23">
      <c r="A366" s="9" t="s">
        <v>1157</v>
      </c>
      <c r="B366" s="9">
        <f ca="1">+IF(A366=WORLDCUP!$BI$112,1,0)</f>
        <v>0</v>
      </c>
      <c r="C366" s="9" t="str">
        <f ca="1">+WORLDCUP!BD62</f>
        <v>Ivory Coast</v>
      </c>
      <c r="D366" s="9" t="str">
        <f ca="1">+WORLDCUP!BD64</f>
        <v>Egypt</v>
      </c>
      <c r="E366" s="9" t="str">
        <f ca="1">+WORLDCUP!BD59</f>
        <v>Switzerland</v>
      </c>
      <c r="F366" s="9" t="str">
        <f ca="1">+WORLDCUP!BD61</f>
        <v>Australia</v>
      </c>
      <c r="G366" s="9" t="str">
        <f ca="1">+WORLDCUP!BD58</f>
        <v>South Korea</v>
      </c>
      <c r="H366" s="9" t="str">
        <f ca="1">+WORLDCUP!BD63</f>
        <v>Tunisia</v>
      </c>
      <c r="I366" s="9" t="str">
        <f ca="1">+WORLDCUP!BD66</f>
        <v>Norway</v>
      </c>
      <c r="J366" s="9" t="str">
        <f ca="1">+WORLDCUP!BD67</f>
        <v>Algeria</v>
      </c>
      <c r="N366" s="16" t="s">
        <v>1157</v>
      </c>
      <c r="O366" s="16">
        <v>365</v>
      </c>
      <c r="P366" s="16" t="s">
        <v>104</v>
      </c>
      <c r="Q366" s="16" t="s">
        <v>113</v>
      </c>
      <c r="R366" s="16" t="s">
        <v>91</v>
      </c>
      <c r="S366" s="16" t="s">
        <v>100</v>
      </c>
      <c r="T366" s="16" t="s">
        <v>86</v>
      </c>
      <c r="U366" s="16" t="s">
        <v>109</v>
      </c>
      <c r="V366" s="16" t="s">
        <v>122</v>
      </c>
      <c r="W366" s="16" t="s">
        <v>127</v>
      </c>
    </row>
    <row r="367" spans="1:23">
      <c r="A367" s="9" t="s">
        <v>1158</v>
      </c>
      <c r="B367" s="9">
        <f ca="1">+IF(A367=WORLDCUP!$BI$112,1,0)</f>
        <v>0</v>
      </c>
      <c r="C367" s="9" t="str">
        <f ca="1">+WORLDCUP!BD65</f>
        <v>Saudi Arabia</v>
      </c>
      <c r="D367" s="9" t="str">
        <f ca="1">+WORLDCUP!BD64</f>
        <v>Egypt</v>
      </c>
      <c r="E367" s="9" t="str">
        <f ca="1">+WORLDCUP!BD59</f>
        <v>Switzerland</v>
      </c>
      <c r="F367" s="9" t="str">
        <f ca="1">+WORLDCUP!BD61</f>
        <v>Australia</v>
      </c>
      <c r="G367" s="9" t="str">
        <f ca="1">+WORLDCUP!BD58</f>
        <v>South Korea</v>
      </c>
      <c r="H367" s="9" t="str">
        <f ca="1">+WORLDCUP!BD63</f>
        <v>Tunisia</v>
      </c>
      <c r="I367" s="9" t="str">
        <f ca="1">+WORLDCUP!BD69</f>
        <v>Croatia</v>
      </c>
      <c r="J367" s="9" t="str">
        <f ca="1">+WORLDCUP!BD62</f>
        <v>Ivory Coast</v>
      </c>
      <c r="N367" s="16" t="s">
        <v>1158</v>
      </c>
      <c r="O367" s="16">
        <v>366</v>
      </c>
      <c r="P367" s="16" t="s">
        <v>118</v>
      </c>
      <c r="Q367" s="16" t="s">
        <v>113</v>
      </c>
      <c r="R367" s="16" t="s">
        <v>91</v>
      </c>
      <c r="S367" s="16" t="s">
        <v>100</v>
      </c>
      <c r="T367" s="16" t="s">
        <v>86</v>
      </c>
      <c r="U367" s="16" t="s">
        <v>109</v>
      </c>
      <c r="V367" s="16" t="s">
        <v>136</v>
      </c>
      <c r="W367" s="16" t="s">
        <v>104</v>
      </c>
    </row>
    <row r="368" spans="1:23">
      <c r="A368" s="9" t="s">
        <v>1159</v>
      </c>
      <c r="B368" s="9">
        <f ca="1">+IF(A368=WORLDCUP!$BI$112,1,0)</f>
        <v>0</v>
      </c>
      <c r="C368" s="9" t="str">
        <f ca="1">+WORLDCUP!BD65</f>
        <v>Saudi Arabia</v>
      </c>
      <c r="D368" s="9" t="str">
        <f ca="1">+WORLDCUP!BD64</f>
        <v>Egypt</v>
      </c>
      <c r="E368" s="9" t="str">
        <f ca="1">+WORLDCUP!BD59</f>
        <v>Switzerland</v>
      </c>
      <c r="F368" s="9" t="str">
        <f ca="1">+WORLDCUP!BD61</f>
        <v>Australia</v>
      </c>
      <c r="G368" s="9" t="str">
        <f ca="1">+WORLDCUP!BD58</f>
        <v>South Korea</v>
      </c>
      <c r="H368" s="9" t="str">
        <f ca="1">+WORLDCUP!BD63</f>
        <v>Tunisia</v>
      </c>
      <c r="I368" s="9" t="str">
        <f ca="1">+WORLDCUP!BD62</f>
        <v>Ivory Coast</v>
      </c>
      <c r="J368" s="9" t="str">
        <f ca="1">+WORLDCUP!BD68</f>
        <v>DR Congo</v>
      </c>
      <c r="N368" s="16" t="s">
        <v>1159</v>
      </c>
      <c r="O368" s="16">
        <v>367</v>
      </c>
      <c r="P368" s="16" t="s">
        <v>118</v>
      </c>
      <c r="Q368" s="16" t="s">
        <v>113</v>
      </c>
      <c r="R368" s="16" t="s">
        <v>91</v>
      </c>
      <c r="S368" s="16" t="s">
        <v>100</v>
      </c>
      <c r="T368" s="16" t="s">
        <v>86</v>
      </c>
      <c r="U368" s="16" t="s">
        <v>109</v>
      </c>
      <c r="V368" s="16" t="s">
        <v>104</v>
      </c>
      <c r="W368" s="16" t="s">
        <v>131</v>
      </c>
    </row>
    <row r="369" spans="1:23">
      <c r="A369" s="9" t="s">
        <v>1160</v>
      </c>
      <c r="B369" s="9">
        <f ca="1">+IF(A369=WORLDCUP!$BI$112,1,0)</f>
        <v>0</v>
      </c>
      <c r="C369" s="9" t="str">
        <f ca="1">+WORLDCUP!BD65</f>
        <v>Saudi Arabia</v>
      </c>
      <c r="D369" s="9" t="str">
        <f ca="1">+WORLDCUP!BD64</f>
        <v>Egypt</v>
      </c>
      <c r="E369" s="9" t="str">
        <f ca="1">+WORLDCUP!BD59</f>
        <v>Switzerland</v>
      </c>
      <c r="F369" s="9" t="str">
        <f ca="1">+WORLDCUP!BD61</f>
        <v>Australia</v>
      </c>
      <c r="G369" s="9" t="str">
        <f ca="1">+WORLDCUP!BD58</f>
        <v>South Korea</v>
      </c>
      <c r="H369" s="9" t="str">
        <f ca="1">+WORLDCUP!BD63</f>
        <v>Tunisia</v>
      </c>
      <c r="I369" s="9" t="str">
        <f ca="1">+WORLDCUP!BD62</f>
        <v>Ivory Coast</v>
      </c>
      <c r="J369" s="9" t="str">
        <f ca="1">+WORLDCUP!BD67</f>
        <v>Algeria</v>
      </c>
      <c r="N369" s="16" t="s">
        <v>1160</v>
      </c>
      <c r="O369" s="16">
        <v>368</v>
      </c>
      <c r="P369" s="16" t="s">
        <v>118</v>
      </c>
      <c r="Q369" s="16" t="s">
        <v>113</v>
      </c>
      <c r="R369" s="16" t="s">
        <v>91</v>
      </c>
      <c r="S369" s="16" t="s">
        <v>100</v>
      </c>
      <c r="T369" s="16" t="s">
        <v>86</v>
      </c>
      <c r="U369" s="16" t="s">
        <v>109</v>
      </c>
      <c r="V369" s="16" t="s">
        <v>104</v>
      </c>
      <c r="W369" s="16" t="s">
        <v>127</v>
      </c>
    </row>
    <row r="370" spans="1:23">
      <c r="A370" s="9" t="s">
        <v>1161</v>
      </c>
      <c r="B370" s="9">
        <f ca="1">+IF(A370=WORLDCUP!$BI$112,1,0)</f>
        <v>0</v>
      </c>
      <c r="C370" s="9" t="str">
        <f ca="1">+WORLDCUP!BD65</f>
        <v>Saudi Arabia</v>
      </c>
      <c r="D370" s="9" t="str">
        <f ca="1">+WORLDCUP!BD64</f>
        <v>Egypt</v>
      </c>
      <c r="E370" s="9" t="str">
        <f ca="1">+WORLDCUP!BD59</f>
        <v>Switzerland</v>
      </c>
      <c r="F370" s="9" t="str">
        <f ca="1">+WORLDCUP!BD61</f>
        <v>Australia</v>
      </c>
      <c r="G370" s="9" t="str">
        <f ca="1">+WORLDCUP!BD58</f>
        <v>South Korea</v>
      </c>
      <c r="H370" s="9" t="str">
        <f ca="1">+WORLDCUP!BD63</f>
        <v>Tunisia</v>
      </c>
      <c r="I370" s="9" t="str">
        <f ca="1">+WORLDCUP!BD62</f>
        <v>Ivory Coast</v>
      </c>
      <c r="J370" s="9" t="str">
        <f ca="1">+WORLDCUP!BD66</f>
        <v>Norway</v>
      </c>
      <c r="N370" s="16" t="s">
        <v>1161</v>
      </c>
      <c r="O370" s="16">
        <v>369</v>
      </c>
      <c r="P370" s="16" t="s">
        <v>118</v>
      </c>
      <c r="Q370" s="16" t="s">
        <v>113</v>
      </c>
      <c r="R370" s="16" t="s">
        <v>91</v>
      </c>
      <c r="S370" s="16" t="s">
        <v>100</v>
      </c>
      <c r="T370" s="16" t="s">
        <v>86</v>
      </c>
      <c r="U370" s="16" t="s">
        <v>109</v>
      </c>
      <c r="V370" s="16" t="s">
        <v>104</v>
      </c>
      <c r="W370" s="16" t="s">
        <v>122</v>
      </c>
    </row>
    <row r="371" spans="1:23">
      <c r="A371" s="9" t="s">
        <v>1162</v>
      </c>
      <c r="B371" s="9">
        <f ca="1">+IF(A371=WORLDCUP!$BI$112,1,0)</f>
        <v>0</v>
      </c>
      <c r="C371" s="9" t="str">
        <f ca="1">+WORLDCUP!BD66</f>
        <v>Norway</v>
      </c>
      <c r="D371" s="9" t="str">
        <f ca="1">+WORLDCUP!BD67</f>
        <v>Algeria</v>
      </c>
      <c r="E371" s="9" t="str">
        <f ca="1">+WORLDCUP!BD59</f>
        <v>Switzerland</v>
      </c>
      <c r="F371" s="9" t="str">
        <f ca="1">+WORLDCUP!BD60</f>
        <v>Scotland</v>
      </c>
      <c r="G371" s="9" t="str">
        <f ca="1">+WORLDCUP!BD58</f>
        <v>South Korea</v>
      </c>
      <c r="H371" s="9" t="str">
        <f ca="1">+WORLDCUP!BD65</f>
        <v>Saudi Arabia</v>
      </c>
      <c r="I371" s="9" t="str">
        <f ca="1">+WORLDCUP!BD69</f>
        <v>Croatia</v>
      </c>
      <c r="J371" s="9" t="str">
        <f ca="1">+WORLDCUP!BD68</f>
        <v>DR Congo</v>
      </c>
      <c r="N371" s="16" t="s">
        <v>1162</v>
      </c>
      <c r="O371" s="16">
        <v>370</v>
      </c>
      <c r="P371" s="16" t="s">
        <v>122</v>
      </c>
      <c r="Q371" s="16" t="s">
        <v>127</v>
      </c>
      <c r="R371" s="16" t="s">
        <v>91</v>
      </c>
      <c r="S371" s="16" t="s">
        <v>95</v>
      </c>
      <c r="T371" s="16" t="s">
        <v>86</v>
      </c>
      <c r="U371" s="16" t="s">
        <v>118</v>
      </c>
      <c r="V371" s="16" t="s">
        <v>136</v>
      </c>
      <c r="W371" s="16" t="s">
        <v>131</v>
      </c>
    </row>
    <row r="372" spans="1:23">
      <c r="A372" s="9" t="s">
        <v>1163</v>
      </c>
      <c r="B372" s="9">
        <f ca="1">+IF(A372=WORLDCUP!$BI$112,1,0)</f>
        <v>0</v>
      </c>
      <c r="C372" s="9" t="str">
        <f ca="1">+WORLDCUP!BD66</f>
        <v>Norway</v>
      </c>
      <c r="D372" s="9" t="str">
        <f ca="1">+WORLDCUP!BD67</f>
        <v>Algeria</v>
      </c>
      <c r="E372" s="9" t="str">
        <f ca="1">+WORLDCUP!BD59</f>
        <v>Switzerland</v>
      </c>
      <c r="F372" s="9" t="str">
        <f ca="1">+WORLDCUP!BD60</f>
        <v>Scotland</v>
      </c>
      <c r="G372" s="9" t="str">
        <f ca="1">+WORLDCUP!BD58</f>
        <v>South Korea</v>
      </c>
      <c r="H372" s="9" t="str">
        <f ca="1">+WORLDCUP!BD64</f>
        <v>Egypt</v>
      </c>
      <c r="I372" s="9" t="str">
        <f ca="1">+WORLDCUP!BD69</f>
        <v>Croatia</v>
      </c>
      <c r="J372" s="9" t="str">
        <f ca="1">+WORLDCUP!BD68</f>
        <v>DR Congo</v>
      </c>
      <c r="N372" s="16" t="s">
        <v>1163</v>
      </c>
      <c r="O372" s="16">
        <v>371</v>
      </c>
      <c r="P372" s="16" t="s">
        <v>122</v>
      </c>
      <c r="Q372" s="16" t="s">
        <v>127</v>
      </c>
      <c r="R372" s="16" t="s">
        <v>91</v>
      </c>
      <c r="S372" s="16" t="s">
        <v>95</v>
      </c>
      <c r="T372" s="16" t="s">
        <v>86</v>
      </c>
      <c r="U372" s="16" t="s">
        <v>113</v>
      </c>
      <c r="V372" s="16" t="s">
        <v>136</v>
      </c>
      <c r="W372" s="16" t="s">
        <v>131</v>
      </c>
    </row>
    <row r="373" spans="1:23">
      <c r="A373" s="9" t="s">
        <v>1164</v>
      </c>
      <c r="B373" s="9">
        <f ca="1">+IF(A373=WORLDCUP!$BI$112,1,0)</f>
        <v>0</v>
      </c>
      <c r="C373" s="9" t="str">
        <f ca="1">+WORLDCUP!BD65</f>
        <v>Saudi Arabia</v>
      </c>
      <c r="D373" s="9" t="str">
        <f ca="1">+WORLDCUP!BD67</f>
        <v>Algeria</v>
      </c>
      <c r="E373" s="9" t="str">
        <f ca="1">+WORLDCUP!BD59</f>
        <v>Switzerland</v>
      </c>
      <c r="F373" s="9" t="str">
        <f ca="1">+WORLDCUP!BD60</f>
        <v>Scotland</v>
      </c>
      <c r="G373" s="9" t="str">
        <f ca="1">+WORLDCUP!BD58</f>
        <v>South Korea</v>
      </c>
      <c r="H373" s="9" t="str">
        <f ca="1">+WORLDCUP!BD64</f>
        <v>Egypt</v>
      </c>
      <c r="I373" s="9" t="str">
        <f ca="1">+WORLDCUP!BD69</f>
        <v>Croatia</v>
      </c>
      <c r="J373" s="9" t="str">
        <f ca="1">+WORLDCUP!BD68</f>
        <v>DR Congo</v>
      </c>
      <c r="N373" s="16" t="s">
        <v>1164</v>
      </c>
      <c r="O373" s="16">
        <v>372</v>
      </c>
      <c r="P373" s="16" t="s">
        <v>118</v>
      </c>
      <c r="Q373" s="16" t="s">
        <v>127</v>
      </c>
      <c r="R373" s="16" t="s">
        <v>91</v>
      </c>
      <c r="S373" s="16" t="s">
        <v>95</v>
      </c>
      <c r="T373" s="16" t="s">
        <v>86</v>
      </c>
      <c r="U373" s="16" t="s">
        <v>113</v>
      </c>
      <c r="V373" s="16" t="s">
        <v>136</v>
      </c>
      <c r="W373" s="16" t="s">
        <v>131</v>
      </c>
    </row>
    <row r="374" spans="1:23">
      <c r="A374" s="9" t="s">
        <v>1165</v>
      </c>
      <c r="B374" s="9">
        <f ca="1">+IF(A374=WORLDCUP!$BI$112,1,0)</f>
        <v>0</v>
      </c>
      <c r="C374" s="9" t="str">
        <f ca="1">+WORLDCUP!BD66</f>
        <v>Norway</v>
      </c>
      <c r="D374" s="9" t="str">
        <f ca="1">+WORLDCUP!BD64</f>
        <v>Egypt</v>
      </c>
      <c r="E374" s="9" t="str">
        <f ca="1">+WORLDCUP!BD59</f>
        <v>Switzerland</v>
      </c>
      <c r="F374" s="9" t="str">
        <f ca="1">+WORLDCUP!BD60</f>
        <v>Scotland</v>
      </c>
      <c r="G374" s="9" t="str">
        <f ca="1">+WORLDCUP!BD58</f>
        <v>South Korea</v>
      </c>
      <c r="H374" s="9" t="str">
        <f ca="1">+WORLDCUP!BD65</f>
        <v>Saudi Arabia</v>
      </c>
      <c r="I374" s="9" t="str">
        <f ca="1">+WORLDCUP!BD69</f>
        <v>Croatia</v>
      </c>
      <c r="J374" s="9" t="str">
        <f ca="1">+WORLDCUP!BD68</f>
        <v>DR Congo</v>
      </c>
      <c r="N374" s="16" t="s">
        <v>1165</v>
      </c>
      <c r="O374" s="16">
        <v>373</v>
      </c>
      <c r="P374" s="16" t="s">
        <v>122</v>
      </c>
      <c r="Q374" s="16" t="s">
        <v>113</v>
      </c>
      <c r="R374" s="16" t="s">
        <v>91</v>
      </c>
      <c r="S374" s="16" t="s">
        <v>95</v>
      </c>
      <c r="T374" s="16" t="s">
        <v>86</v>
      </c>
      <c r="U374" s="16" t="s">
        <v>118</v>
      </c>
      <c r="V374" s="16" t="s">
        <v>136</v>
      </c>
      <c r="W374" s="16" t="s">
        <v>131</v>
      </c>
    </row>
    <row r="375" spans="1:23">
      <c r="A375" s="9" t="s">
        <v>1166</v>
      </c>
      <c r="B375" s="9">
        <f ca="1">+IF(A375=WORLDCUP!$BI$112,1,0)</f>
        <v>0</v>
      </c>
      <c r="C375" s="9" t="str">
        <f ca="1">+WORLDCUP!BD65</f>
        <v>Saudi Arabia</v>
      </c>
      <c r="D375" s="9" t="str">
        <f ca="1">+WORLDCUP!BD67</f>
        <v>Algeria</v>
      </c>
      <c r="E375" s="9" t="str">
        <f ca="1">+WORLDCUP!BD59</f>
        <v>Switzerland</v>
      </c>
      <c r="F375" s="9" t="str">
        <f ca="1">+WORLDCUP!BD60</f>
        <v>Scotland</v>
      </c>
      <c r="G375" s="9" t="str">
        <f ca="1">+WORLDCUP!BD58</f>
        <v>South Korea</v>
      </c>
      <c r="H375" s="9" t="str">
        <f ca="1">+WORLDCUP!BD64</f>
        <v>Egypt</v>
      </c>
      <c r="I375" s="9" t="str">
        <f ca="1">+WORLDCUP!BD69</f>
        <v>Croatia</v>
      </c>
      <c r="J375" s="9" t="str">
        <f ca="1">+WORLDCUP!BD66</f>
        <v>Norway</v>
      </c>
      <c r="N375" s="16" t="s">
        <v>1166</v>
      </c>
      <c r="O375" s="16">
        <v>374</v>
      </c>
      <c r="P375" s="16" t="s">
        <v>118</v>
      </c>
      <c r="Q375" s="16" t="s">
        <v>127</v>
      </c>
      <c r="R375" s="16" t="s">
        <v>91</v>
      </c>
      <c r="S375" s="16" t="s">
        <v>95</v>
      </c>
      <c r="T375" s="16" t="s">
        <v>86</v>
      </c>
      <c r="U375" s="16" t="s">
        <v>113</v>
      </c>
      <c r="V375" s="16" t="s">
        <v>136</v>
      </c>
      <c r="W375" s="16" t="s">
        <v>122</v>
      </c>
    </row>
    <row r="376" spans="1:23">
      <c r="A376" s="9" t="s">
        <v>1167</v>
      </c>
      <c r="B376" s="9">
        <f ca="1">+IF(A376=WORLDCUP!$BI$112,1,0)</f>
        <v>0</v>
      </c>
      <c r="C376" s="9" t="str">
        <f ca="1">+WORLDCUP!BD65</f>
        <v>Saudi Arabia</v>
      </c>
      <c r="D376" s="9" t="str">
        <f ca="1">+WORLDCUP!BD67</f>
        <v>Algeria</v>
      </c>
      <c r="E376" s="9" t="str">
        <f ca="1">+WORLDCUP!BD59</f>
        <v>Switzerland</v>
      </c>
      <c r="F376" s="9" t="str">
        <f ca="1">+WORLDCUP!BD60</f>
        <v>Scotland</v>
      </c>
      <c r="G376" s="9" t="str">
        <f ca="1">+WORLDCUP!BD58</f>
        <v>South Korea</v>
      </c>
      <c r="H376" s="9" t="str">
        <f ca="1">+WORLDCUP!BD64</f>
        <v>Egypt</v>
      </c>
      <c r="I376" s="9" t="str">
        <f ca="1">+WORLDCUP!BD66</f>
        <v>Norway</v>
      </c>
      <c r="J376" s="9" t="str">
        <f ca="1">+WORLDCUP!BD68</f>
        <v>DR Congo</v>
      </c>
      <c r="N376" s="16" t="s">
        <v>1167</v>
      </c>
      <c r="O376" s="16">
        <v>375</v>
      </c>
      <c r="P376" s="16" t="s">
        <v>118</v>
      </c>
      <c r="Q376" s="16" t="s">
        <v>127</v>
      </c>
      <c r="R376" s="16" t="s">
        <v>91</v>
      </c>
      <c r="S376" s="16" t="s">
        <v>95</v>
      </c>
      <c r="T376" s="16" t="s">
        <v>86</v>
      </c>
      <c r="U376" s="16" t="s">
        <v>113</v>
      </c>
      <c r="V376" s="16" t="s">
        <v>122</v>
      </c>
      <c r="W376" s="16" t="s">
        <v>131</v>
      </c>
    </row>
    <row r="377" spans="1:23">
      <c r="A377" s="9" t="s">
        <v>1168</v>
      </c>
      <c r="B377" s="9">
        <f ca="1">+IF(A377=WORLDCUP!$BI$112,1,0)</f>
        <v>0</v>
      </c>
      <c r="C377" s="9" t="str">
        <f ca="1">+WORLDCUP!BD66</f>
        <v>Norway</v>
      </c>
      <c r="D377" s="9" t="str">
        <f ca="1">+WORLDCUP!BD67</f>
        <v>Algeria</v>
      </c>
      <c r="E377" s="9" t="str">
        <f ca="1">+WORLDCUP!BD59</f>
        <v>Switzerland</v>
      </c>
      <c r="F377" s="9" t="str">
        <f ca="1">+WORLDCUP!BD60</f>
        <v>Scotland</v>
      </c>
      <c r="G377" s="9" t="str">
        <f ca="1">+WORLDCUP!BD58</f>
        <v>South Korea</v>
      </c>
      <c r="H377" s="9" t="str">
        <f ca="1">+WORLDCUP!BD63</f>
        <v>Tunisia</v>
      </c>
      <c r="I377" s="9" t="str">
        <f ca="1">+WORLDCUP!BD69</f>
        <v>Croatia</v>
      </c>
      <c r="J377" s="9" t="str">
        <f ca="1">+WORLDCUP!BD68</f>
        <v>DR Congo</v>
      </c>
      <c r="N377" s="16" t="s">
        <v>1168</v>
      </c>
      <c r="O377" s="16">
        <v>376</v>
      </c>
      <c r="P377" s="16" t="s">
        <v>122</v>
      </c>
      <c r="Q377" s="16" t="s">
        <v>127</v>
      </c>
      <c r="R377" s="16" t="s">
        <v>91</v>
      </c>
      <c r="S377" s="16" t="s">
        <v>95</v>
      </c>
      <c r="T377" s="16" t="s">
        <v>86</v>
      </c>
      <c r="U377" s="16" t="s">
        <v>109</v>
      </c>
      <c r="V377" s="16" t="s">
        <v>136</v>
      </c>
      <c r="W377" s="16" t="s">
        <v>131</v>
      </c>
    </row>
    <row r="378" spans="1:23">
      <c r="A378" s="9" t="s">
        <v>1169</v>
      </c>
      <c r="B378" s="9">
        <f ca="1">+IF(A378=WORLDCUP!$BI$112,1,0)</f>
        <v>0</v>
      </c>
      <c r="C378" s="9" t="str">
        <f ca="1">+WORLDCUP!BD65</f>
        <v>Saudi Arabia</v>
      </c>
      <c r="D378" s="9" t="str">
        <f ca="1">+WORLDCUP!BD67</f>
        <v>Algeria</v>
      </c>
      <c r="E378" s="9" t="str">
        <f ca="1">+WORLDCUP!BD59</f>
        <v>Switzerland</v>
      </c>
      <c r="F378" s="9" t="str">
        <f ca="1">+WORLDCUP!BD60</f>
        <v>Scotland</v>
      </c>
      <c r="G378" s="9" t="str">
        <f ca="1">+WORLDCUP!BD58</f>
        <v>South Korea</v>
      </c>
      <c r="H378" s="9" t="str">
        <f ca="1">+WORLDCUP!BD63</f>
        <v>Tunisia</v>
      </c>
      <c r="I378" s="9" t="str">
        <f ca="1">+WORLDCUP!BD69</f>
        <v>Croatia</v>
      </c>
      <c r="J378" s="9" t="str">
        <f ca="1">+WORLDCUP!BD68</f>
        <v>DR Congo</v>
      </c>
      <c r="N378" s="16" t="s">
        <v>1169</v>
      </c>
      <c r="O378" s="16">
        <v>377</v>
      </c>
      <c r="P378" s="16" t="s">
        <v>118</v>
      </c>
      <c r="Q378" s="16" t="s">
        <v>127</v>
      </c>
      <c r="R378" s="16" t="s">
        <v>91</v>
      </c>
      <c r="S378" s="16" t="s">
        <v>95</v>
      </c>
      <c r="T378" s="16" t="s">
        <v>86</v>
      </c>
      <c r="U378" s="16" t="s">
        <v>109</v>
      </c>
      <c r="V378" s="16" t="s">
        <v>136</v>
      </c>
      <c r="W378" s="16" t="s">
        <v>131</v>
      </c>
    </row>
    <row r="379" spans="1:23">
      <c r="A379" s="9" t="s">
        <v>1170</v>
      </c>
      <c r="B379" s="9">
        <f ca="1">+IF(A379=WORLDCUP!$BI$112,1,0)</f>
        <v>0</v>
      </c>
      <c r="C379" s="9" t="str">
        <f ca="1">+WORLDCUP!BD65</f>
        <v>Saudi Arabia</v>
      </c>
      <c r="D379" s="9" t="str">
        <f ca="1">+WORLDCUP!BD66</f>
        <v>Norway</v>
      </c>
      <c r="E379" s="9" t="str">
        <f ca="1">+WORLDCUP!BD59</f>
        <v>Switzerland</v>
      </c>
      <c r="F379" s="9" t="str">
        <f ca="1">+WORLDCUP!BD60</f>
        <v>Scotland</v>
      </c>
      <c r="G379" s="9" t="str">
        <f ca="1">+WORLDCUP!BD58</f>
        <v>South Korea</v>
      </c>
      <c r="H379" s="9" t="str">
        <f ca="1">+WORLDCUP!BD63</f>
        <v>Tunisia</v>
      </c>
      <c r="I379" s="9" t="str">
        <f ca="1">+WORLDCUP!BD69</f>
        <v>Croatia</v>
      </c>
      <c r="J379" s="9" t="str">
        <f ca="1">+WORLDCUP!BD68</f>
        <v>DR Congo</v>
      </c>
      <c r="N379" s="16" t="s">
        <v>1170</v>
      </c>
      <c r="O379" s="16">
        <v>378</v>
      </c>
      <c r="P379" s="16" t="s">
        <v>118</v>
      </c>
      <c r="Q379" s="16" t="s">
        <v>122</v>
      </c>
      <c r="R379" s="16" t="s">
        <v>91</v>
      </c>
      <c r="S379" s="16" t="s">
        <v>95</v>
      </c>
      <c r="T379" s="16" t="s">
        <v>86</v>
      </c>
      <c r="U379" s="16" t="s">
        <v>109</v>
      </c>
      <c r="V379" s="16" t="s">
        <v>136</v>
      </c>
      <c r="W379" s="16" t="s">
        <v>131</v>
      </c>
    </row>
    <row r="380" spans="1:23">
      <c r="A380" s="9" t="s">
        <v>1171</v>
      </c>
      <c r="B380" s="9">
        <f ca="1">+IF(A380=WORLDCUP!$BI$112,1,0)</f>
        <v>0</v>
      </c>
      <c r="C380" s="9" t="str">
        <f ca="1">+WORLDCUP!BD65</f>
        <v>Saudi Arabia</v>
      </c>
      <c r="D380" s="9" t="str">
        <f ca="1">+WORLDCUP!BD67</f>
        <v>Algeria</v>
      </c>
      <c r="E380" s="9" t="str">
        <f ca="1">+WORLDCUP!BD59</f>
        <v>Switzerland</v>
      </c>
      <c r="F380" s="9" t="str">
        <f ca="1">+WORLDCUP!BD60</f>
        <v>Scotland</v>
      </c>
      <c r="G380" s="9" t="str">
        <f ca="1">+WORLDCUP!BD58</f>
        <v>South Korea</v>
      </c>
      <c r="H380" s="9" t="str">
        <f ca="1">+WORLDCUP!BD63</f>
        <v>Tunisia</v>
      </c>
      <c r="I380" s="9" t="str">
        <f ca="1">+WORLDCUP!BD69</f>
        <v>Croatia</v>
      </c>
      <c r="J380" s="9" t="str">
        <f ca="1">+WORLDCUP!BD66</f>
        <v>Norway</v>
      </c>
      <c r="N380" s="16" t="s">
        <v>1171</v>
      </c>
      <c r="O380" s="16">
        <v>379</v>
      </c>
      <c r="P380" s="16" t="s">
        <v>118</v>
      </c>
      <c r="Q380" s="16" t="s">
        <v>127</v>
      </c>
      <c r="R380" s="16" t="s">
        <v>91</v>
      </c>
      <c r="S380" s="16" t="s">
        <v>95</v>
      </c>
      <c r="T380" s="16" t="s">
        <v>86</v>
      </c>
      <c r="U380" s="16" t="s">
        <v>109</v>
      </c>
      <c r="V380" s="16" t="s">
        <v>136</v>
      </c>
      <c r="W380" s="16" t="s">
        <v>122</v>
      </c>
    </row>
    <row r="381" spans="1:23">
      <c r="A381" s="9" t="s">
        <v>1172</v>
      </c>
      <c r="B381" s="9">
        <f ca="1">+IF(A381=WORLDCUP!$BI$112,1,0)</f>
        <v>0</v>
      </c>
      <c r="C381" s="9" t="str">
        <f ca="1">+WORLDCUP!BD65</f>
        <v>Saudi Arabia</v>
      </c>
      <c r="D381" s="9" t="str">
        <f ca="1">+WORLDCUP!BD67</f>
        <v>Algeria</v>
      </c>
      <c r="E381" s="9" t="str">
        <f ca="1">+WORLDCUP!BD59</f>
        <v>Switzerland</v>
      </c>
      <c r="F381" s="9" t="str">
        <f ca="1">+WORLDCUP!BD60</f>
        <v>Scotland</v>
      </c>
      <c r="G381" s="9" t="str">
        <f ca="1">+WORLDCUP!BD58</f>
        <v>South Korea</v>
      </c>
      <c r="H381" s="9" t="str">
        <f ca="1">+WORLDCUP!BD63</f>
        <v>Tunisia</v>
      </c>
      <c r="I381" s="9" t="str">
        <f ca="1">+WORLDCUP!BD66</f>
        <v>Norway</v>
      </c>
      <c r="J381" s="9" t="str">
        <f ca="1">+WORLDCUP!BD68</f>
        <v>DR Congo</v>
      </c>
      <c r="N381" s="16" t="s">
        <v>1172</v>
      </c>
      <c r="O381" s="16">
        <v>380</v>
      </c>
      <c r="P381" s="16" t="s">
        <v>118</v>
      </c>
      <c r="Q381" s="16" t="s">
        <v>127</v>
      </c>
      <c r="R381" s="16" t="s">
        <v>91</v>
      </c>
      <c r="S381" s="16" t="s">
        <v>95</v>
      </c>
      <c r="T381" s="16" t="s">
        <v>86</v>
      </c>
      <c r="U381" s="16" t="s">
        <v>109</v>
      </c>
      <c r="V381" s="16" t="s">
        <v>122</v>
      </c>
      <c r="W381" s="16" t="s">
        <v>131</v>
      </c>
    </row>
    <row r="382" spans="1:23">
      <c r="A382" s="9" t="s">
        <v>1173</v>
      </c>
      <c r="B382" s="9">
        <f ca="1">+IF(A382=WORLDCUP!$BI$112,1,0)</f>
        <v>0</v>
      </c>
      <c r="C382" s="9" t="str">
        <f ca="1">+WORLDCUP!BD60</f>
        <v>Scotland</v>
      </c>
      <c r="D382" s="9" t="str">
        <f ca="1">+WORLDCUP!BD67</f>
        <v>Algeria</v>
      </c>
      <c r="E382" s="9" t="str">
        <f ca="1">+WORLDCUP!BD59</f>
        <v>Switzerland</v>
      </c>
      <c r="F382" s="9" t="str">
        <f ca="1">+WORLDCUP!BD63</f>
        <v>Tunisia</v>
      </c>
      <c r="G382" s="9" t="str">
        <f ca="1">+WORLDCUP!BD58</f>
        <v>South Korea</v>
      </c>
      <c r="H382" s="9" t="str">
        <f ca="1">+WORLDCUP!BD64</f>
        <v>Egypt</v>
      </c>
      <c r="I382" s="9" t="str">
        <f ca="1">+WORLDCUP!BD69</f>
        <v>Croatia</v>
      </c>
      <c r="J382" s="9" t="str">
        <f ca="1">+WORLDCUP!BD68</f>
        <v>DR Congo</v>
      </c>
      <c r="N382" s="16" t="s">
        <v>1173</v>
      </c>
      <c r="O382" s="16">
        <v>381</v>
      </c>
      <c r="P382" s="16" t="s">
        <v>95</v>
      </c>
      <c r="Q382" s="16" t="s">
        <v>127</v>
      </c>
      <c r="R382" s="16" t="s">
        <v>91</v>
      </c>
      <c r="S382" s="16" t="s">
        <v>109</v>
      </c>
      <c r="T382" s="16" t="s">
        <v>86</v>
      </c>
      <c r="U382" s="16" t="s">
        <v>113</v>
      </c>
      <c r="V382" s="16" t="s">
        <v>136</v>
      </c>
      <c r="W382" s="16" t="s">
        <v>131</v>
      </c>
    </row>
    <row r="383" spans="1:23">
      <c r="A383" s="9" t="s">
        <v>1174</v>
      </c>
      <c r="B383" s="9">
        <f ca="1">+IF(A383=WORLDCUP!$BI$112,1,0)</f>
        <v>0</v>
      </c>
      <c r="C383" s="9" t="str">
        <f ca="1">+WORLDCUP!BD66</f>
        <v>Norway</v>
      </c>
      <c r="D383" s="9" t="str">
        <f ca="1">+WORLDCUP!BD64</f>
        <v>Egypt</v>
      </c>
      <c r="E383" s="9" t="str">
        <f ca="1">+WORLDCUP!BD59</f>
        <v>Switzerland</v>
      </c>
      <c r="F383" s="9" t="str">
        <f ca="1">+WORLDCUP!BD60</f>
        <v>Scotland</v>
      </c>
      <c r="G383" s="9" t="str">
        <f ca="1">+WORLDCUP!BD58</f>
        <v>South Korea</v>
      </c>
      <c r="H383" s="9" t="str">
        <f ca="1">+WORLDCUP!BD63</f>
        <v>Tunisia</v>
      </c>
      <c r="I383" s="9" t="str">
        <f ca="1">+WORLDCUP!BD69</f>
        <v>Croatia</v>
      </c>
      <c r="J383" s="9" t="str">
        <f ca="1">+WORLDCUP!BD68</f>
        <v>DR Congo</v>
      </c>
      <c r="N383" s="16" t="s">
        <v>1174</v>
      </c>
      <c r="O383" s="16">
        <v>382</v>
      </c>
      <c r="P383" s="16" t="s">
        <v>122</v>
      </c>
      <c r="Q383" s="16" t="s">
        <v>113</v>
      </c>
      <c r="R383" s="16" t="s">
        <v>91</v>
      </c>
      <c r="S383" s="16" t="s">
        <v>95</v>
      </c>
      <c r="T383" s="16" t="s">
        <v>86</v>
      </c>
      <c r="U383" s="16" t="s">
        <v>109</v>
      </c>
      <c r="V383" s="16" t="s">
        <v>136</v>
      </c>
      <c r="W383" s="16" t="s">
        <v>131</v>
      </c>
    </row>
    <row r="384" spans="1:23">
      <c r="A384" s="9" t="s">
        <v>1175</v>
      </c>
      <c r="B384" s="9">
        <f ca="1">+IF(A384=WORLDCUP!$BI$112,1,0)</f>
        <v>0</v>
      </c>
      <c r="C384" s="9" t="str">
        <f ca="1">+WORLDCUP!BD60</f>
        <v>Scotland</v>
      </c>
      <c r="D384" s="9" t="str">
        <f ca="1">+WORLDCUP!BD67</f>
        <v>Algeria</v>
      </c>
      <c r="E384" s="9" t="str">
        <f ca="1">+WORLDCUP!BD59</f>
        <v>Switzerland</v>
      </c>
      <c r="F384" s="9" t="str">
        <f ca="1">+WORLDCUP!BD63</f>
        <v>Tunisia</v>
      </c>
      <c r="G384" s="9" t="str">
        <f ca="1">+WORLDCUP!BD58</f>
        <v>South Korea</v>
      </c>
      <c r="H384" s="9" t="str">
        <f ca="1">+WORLDCUP!BD64</f>
        <v>Egypt</v>
      </c>
      <c r="I384" s="9" t="str">
        <f ca="1">+WORLDCUP!BD69</f>
        <v>Croatia</v>
      </c>
      <c r="J384" s="9" t="str">
        <f ca="1">+WORLDCUP!BD66</f>
        <v>Norway</v>
      </c>
      <c r="N384" s="16" t="s">
        <v>1175</v>
      </c>
      <c r="O384" s="16">
        <v>383</v>
      </c>
      <c r="P384" s="16" t="s">
        <v>95</v>
      </c>
      <c r="Q384" s="16" t="s">
        <v>127</v>
      </c>
      <c r="R384" s="16" t="s">
        <v>91</v>
      </c>
      <c r="S384" s="16" t="s">
        <v>109</v>
      </c>
      <c r="T384" s="16" t="s">
        <v>86</v>
      </c>
      <c r="U384" s="16" t="s">
        <v>113</v>
      </c>
      <c r="V384" s="16" t="s">
        <v>136</v>
      </c>
      <c r="W384" s="16" t="s">
        <v>122</v>
      </c>
    </row>
    <row r="385" spans="1:23">
      <c r="A385" s="9" t="s">
        <v>1176</v>
      </c>
      <c r="B385" s="9">
        <f ca="1">+IF(A385=WORLDCUP!$BI$112,1,0)</f>
        <v>0</v>
      </c>
      <c r="C385" s="9" t="str">
        <f ca="1">+WORLDCUP!BD60</f>
        <v>Scotland</v>
      </c>
      <c r="D385" s="9" t="str">
        <f ca="1">+WORLDCUP!BD67</f>
        <v>Algeria</v>
      </c>
      <c r="E385" s="9" t="str">
        <f ca="1">+WORLDCUP!BD59</f>
        <v>Switzerland</v>
      </c>
      <c r="F385" s="9" t="str">
        <f ca="1">+WORLDCUP!BD63</f>
        <v>Tunisia</v>
      </c>
      <c r="G385" s="9" t="str">
        <f ca="1">+WORLDCUP!BD58</f>
        <v>South Korea</v>
      </c>
      <c r="H385" s="9" t="str">
        <f ca="1">+WORLDCUP!BD64</f>
        <v>Egypt</v>
      </c>
      <c r="I385" s="9" t="str">
        <f ca="1">+WORLDCUP!BD66</f>
        <v>Norway</v>
      </c>
      <c r="J385" s="9" t="str">
        <f ca="1">+WORLDCUP!BD68</f>
        <v>DR Congo</v>
      </c>
      <c r="N385" s="16" t="s">
        <v>1176</v>
      </c>
      <c r="O385" s="16">
        <v>384</v>
      </c>
      <c r="P385" s="16" t="s">
        <v>95</v>
      </c>
      <c r="Q385" s="16" t="s">
        <v>127</v>
      </c>
      <c r="R385" s="16" t="s">
        <v>91</v>
      </c>
      <c r="S385" s="16" t="s">
        <v>109</v>
      </c>
      <c r="T385" s="16" t="s">
        <v>86</v>
      </c>
      <c r="U385" s="16" t="s">
        <v>113</v>
      </c>
      <c r="V385" s="16" t="s">
        <v>122</v>
      </c>
      <c r="W385" s="16" t="s">
        <v>131</v>
      </c>
    </row>
    <row r="386" spans="1:23">
      <c r="A386" s="9" t="s">
        <v>1177</v>
      </c>
      <c r="B386" s="9">
        <f ca="1">+IF(A386=WORLDCUP!$BI$112,1,0)</f>
        <v>0</v>
      </c>
      <c r="C386" s="9" t="str">
        <f ca="1">+WORLDCUP!BD65</f>
        <v>Saudi Arabia</v>
      </c>
      <c r="D386" s="9" t="str">
        <f ca="1">+WORLDCUP!BD64</f>
        <v>Egypt</v>
      </c>
      <c r="E386" s="9" t="str">
        <f ca="1">+WORLDCUP!BD59</f>
        <v>Switzerland</v>
      </c>
      <c r="F386" s="9" t="str">
        <f ca="1">+WORLDCUP!BD60</f>
        <v>Scotland</v>
      </c>
      <c r="G386" s="9" t="str">
        <f ca="1">+WORLDCUP!BD58</f>
        <v>South Korea</v>
      </c>
      <c r="H386" s="9" t="str">
        <f ca="1">+WORLDCUP!BD63</f>
        <v>Tunisia</v>
      </c>
      <c r="I386" s="9" t="str">
        <f ca="1">+WORLDCUP!BD69</f>
        <v>Croatia</v>
      </c>
      <c r="J386" s="9" t="str">
        <f ca="1">+WORLDCUP!BD68</f>
        <v>DR Congo</v>
      </c>
      <c r="N386" s="16" t="s">
        <v>1177</v>
      </c>
      <c r="O386" s="16">
        <v>385</v>
      </c>
      <c r="P386" s="16" t="s">
        <v>118</v>
      </c>
      <c r="Q386" s="16" t="s">
        <v>113</v>
      </c>
      <c r="R386" s="16" t="s">
        <v>91</v>
      </c>
      <c r="S386" s="16" t="s">
        <v>95</v>
      </c>
      <c r="T386" s="16" t="s">
        <v>86</v>
      </c>
      <c r="U386" s="16" t="s">
        <v>109</v>
      </c>
      <c r="V386" s="16" t="s">
        <v>136</v>
      </c>
      <c r="W386" s="16" t="s">
        <v>131</v>
      </c>
    </row>
    <row r="387" spans="1:23">
      <c r="A387" s="9" t="s">
        <v>1178</v>
      </c>
      <c r="B387" s="9">
        <f ca="1">+IF(A387=WORLDCUP!$BI$112,1,0)</f>
        <v>0</v>
      </c>
      <c r="C387" s="9" t="str">
        <f ca="1">+WORLDCUP!BD65</f>
        <v>Saudi Arabia</v>
      </c>
      <c r="D387" s="9" t="str">
        <f ca="1">+WORLDCUP!BD64</f>
        <v>Egypt</v>
      </c>
      <c r="E387" s="9" t="str">
        <f ca="1">+WORLDCUP!BD59</f>
        <v>Switzerland</v>
      </c>
      <c r="F387" s="9" t="str">
        <f ca="1">+WORLDCUP!BD60</f>
        <v>Scotland</v>
      </c>
      <c r="G387" s="9" t="str">
        <f ca="1">+WORLDCUP!BD58</f>
        <v>South Korea</v>
      </c>
      <c r="H387" s="9" t="str">
        <f ca="1">+WORLDCUP!BD63</f>
        <v>Tunisia</v>
      </c>
      <c r="I387" s="9" t="str">
        <f ca="1">+WORLDCUP!BD69</f>
        <v>Croatia</v>
      </c>
      <c r="J387" s="9" t="str">
        <f ca="1">+WORLDCUP!BD67</f>
        <v>Algeria</v>
      </c>
      <c r="N387" s="16" t="s">
        <v>1178</v>
      </c>
      <c r="O387" s="16">
        <v>386</v>
      </c>
      <c r="P387" s="16" t="s">
        <v>118</v>
      </c>
      <c r="Q387" s="16" t="s">
        <v>113</v>
      </c>
      <c r="R387" s="16" t="s">
        <v>91</v>
      </c>
      <c r="S387" s="16" t="s">
        <v>95</v>
      </c>
      <c r="T387" s="16" t="s">
        <v>86</v>
      </c>
      <c r="U387" s="16" t="s">
        <v>109</v>
      </c>
      <c r="V387" s="16" t="s">
        <v>136</v>
      </c>
      <c r="W387" s="16" t="s">
        <v>127</v>
      </c>
    </row>
    <row r="388" spans="1:23">
      <c r="A388" s="9" t="s">
        <v>1179</v>
      </c>
      <c r="B388" s="9">
        <f ca="1">+IF(A388=WORLDCUP!$BI$112,1,0)</f>
        <v>0</v>
      </c>
      <c r="C388" s="9" t="str">
        <f ca="1">+WORLDCUP!BD65</f>
        <v>Saudi Arabia</v>
      </c>
      <c r="D388" s="9" t="str">
        <f ca="1">+WORLDCUP!BD64</f>
        <v>Egypt</v>
      </c>
      <c r="E388" s="9" t="str">
        <f ca="1">+WORLDCUP!BD59</f>
        <v>Switzerland</v>
      </c>
      <c r="F388" s="9" t="str">
        <f ca="1">+WORLDCUP!BD60</f>
        <v>Scotland</v>
      </c>
      <c r="G388" s="9" t="str">
        <f ca="1">+WORLDCUP!BD58</f>
        <v>South Korea</v>
      </c>
      <c r="H388" s="9" t="str">
        <f ca="1">+WORLDCUP!BD63</f>
        <v>Tunisia</v>
      </c>
      <c r="I388" s="9" t="str">
        <f ca="1">+WORLDCUP!BD67</f>
        <v>Algeria</v>
      </c>
      <c r="J388" s="9" t="str">
        <f ca="1">+WORLDCUP!BD68</f>
        <v>DR Congo</v>
      </c>
      <c r="N388" s="16" t="s">
        <v>1179</v>
      </c>
      <c r="O388" s="16">
        <v>387</v>
      </c>
      <c r="P388" s="16" t="s">
        <v>118</v>
      </c>
      <c r="Q388" s="16" t="s">
        <v>113</v>
      </c>
      <c r="R388" s="16" t="s">
        <v>91</v>
      </c>
      <c r="S388" s="16" t="s">
        <v>95</v>
      </c>
      <c r="T388" s="16" t="s">
        <v>86</v>
      </c>
      <c r="U388" s="16" t="s">
        <v>109</v>
      </c>
      <c r="V388" s="16" t="s">
        <v>127</v>
      </c>
      <c r="W388" s="16" t="s">
        <v>131</v>
      </c>
    </row>
    <row r="389" spans="1:23">
      <c r="A389" s="9" t="s">
        <v>1180</v>
      </c>
      <c r="B389" s="9">
        <f ca="1">+IF(A389=WORLDCUP!$BI$112,1,0)</f>
        <v>0</v>
      </c>
      <c r="C389" s="9" t="str">
        <f ca="1">+WORLDCUP!BD65</f>
        <v>Saudi Arabia</v>
      </c>
      <c r="D389" s="9" t="str">
        <f ca="1">+WORLDCUP!BD64</f>
        <v>Egypt</v>
      </c>
      <c r="E389" s="9" t="str">
        <f ca="1">+WORLDCUP!BD59</f>
        <v>Switzerland</v>
      </c>
      <c r="F389" s="9" t="str">
        <f ca="1">+WORLDCUP!BD60</f>
        <v>Scotland</v>
      </c>
      <c r="G389" s="9" t="str">
        <f ca="1">+WORLDCUP!BD58</f>
        <v>South Korea</v>
      </c>
      <c r="H389" s="9" t="str">
        <f ca="1">+WORLDCUP!BD63</f>
        <v>Tunisia</v>
      </c>
      <c r="I389" s="9" t="str">
        <f ca="1">+WORLDCUP!BD69</f>
        <v>Croatia</v>
      </c>
      <c r="J389" s="9" t="str">
        <f ca="1">+WORLDCUP!BD66</f>
        <v>Norway</v>
      </c>
      <c r="N389" s="16" t="s">
        <v>1180</v>
      </c>
      <c r="O389" s="16">
        <v>388</v>
      </c>
      <c r="P389" s="16" t="s">
        <v>118</v>
      </c>
      <c r="Q389" s="16" t="s">
        <v>113</v>
      </c>
      <c r="R389" s="16" t="s">
        <v>91</v>
      </c>
      <c r="S389" s="16" t="s">
        <v>95</v>
      </c>
      <c r="T389" s="16" t="s">
        <v>86</v>
      </c>
      <c r="U389" s="16" t="s">
        <v>109</v>
      </c>
      <c r="V389" s="16" t="s">
        <v>136</v>
      </c>
      <c r="W389" s="16" t="s">
        <v>122</v>
      </c>
    </row>
    <row r="390" spans="1:23">
      <c r="A390" s="9" t="s">
        <v>1181</v>
      </c>
      <c r="B390" s="9">
        <f ca="1">+IF(A390=WORLDCUP!$BI$112,1,0)</f>
        <v>0</v>
      </c>
      <c r="C390" s="9" t="str">
        <f ca="1">+WORLDCUP!BD65</f>
        <v>Saudi Arabia</v>
      </c>
      <c r="D390" s="9" t="str">
        <f ca="1">+WORLDCUP!BD64</f>
        <v>Egypt</v>
      </c>
      <c r="E390" s="9" t="str">
        <f ca="1">+WORLDCUP!BD59</f>
        <v>Switzerland</v>
      </c>
      <c r="F390" s="9" t="str">
        <f ca="1">+WORLDCUP!BD60</f>
        <v>Scotland</v>
      </c>
      <c r="G390" s="9" t="str">
        <f ca="1">+WORLDCUP!BD58</f>
        <v>South Korea</v>
      </c>
      <c r="H390" s="9" t="str">
        <f ca="1">+WORLDCUP!BD63</f>
        <v>Tunisia</v>
      </c>
      <c r="I390" s="9" t="str">
        <f ca="1">+WORLDCUP!BD66</f>
        <v>Norway</v>
      </c>
      <c r="J390" s="9" t="str">
        <f ca="1">+WORLDCUP!BD68</f>
        <v>DR Congo</v>
      </c>
      <c r="N390" s="16" t="s">
        <v>1181</v>
      </c>
      <c r="O390" s="16">
        <v>389</v>
      </c>
      <c r="P390" s="16" t="s">
        <v>118</v>
      </c>
      <c r="Q390" s="16" t="s">
        <v>113</v>
      </c>
      <c r="R390" s="16" t="s">
        <v>91</v>
      </c>
      <c r="S390" s="16" t="s">
        <v>95</v>
      </c>
      <c r="T390" s="16" t="s">
        <v>86</v>
      </c>
      <c r="U390" s="16" t="s">
        <v>109</v>
      </c>
      <c r="V390" s="16" t="s">
        <v>122</v>
      </c>
      <c r="W390" s="16" t="s">
        <v>131</v>
      </c>
    </row>
    <row r="391" spans="1:23">
      <c r="A391" s="9" t="s">
        <v>1182</v>
      </c>
      <c r="B391" s="9">
        <f ca="1">+IF(A391=WORLDCUP!$BI$112,1,0)</f>
        <v>0</v>
      </c>
      <c r="C391" s="9" t="str">
        <f ca="1">+WORLDCUP!BD65</f>
        <v>Saudi Arabia</v>
      </c>
      <c r="D391" s="9" t="str">
        <f ca="1">+WORLDCUP!BD64</f>
        <v>Egypt</v>
      </c>
      <c r="E391" s="9" t="str">
        <f ca="1">+WORLDCUP!BD59</f>
        <v>Switzerland</v>
      </c>
      <c r="F391" s="9" t="str">
        <f ca="1">+WORLDCUP!BD60</f>
        <v>Scotland</v>
      </c>
      <c r="G391" s="9" t="str">
        <f ca="1">+WORLDCUP!BD58</f>
        <v>South Korea</v>
      </c>
      <c r="H391" s="9" t="str">
        <f ca="1">+WORLDCUP!BD63</f>
        <v>Tunisia</v>
      </c>
      <c r="I391" s="9" t="str">
        <f ca="1">+WORLDCUP!BD66</f>
        <v>Norway</v>
      </c>
      <c r="J391" s="9" t="str">
        <f ca="1">+WORLDCUP!BD67</f>
        <v>Algeria</v>
      </c>
      <c r="N391" s="16" t="s">
        <v>1182</v>
      </c>
      <c r="O391" s="16">
        <v>390</v>
      </c>
      <c r="P391" s="16" t="s">
        <v>118</v>
      </c>
      <c r="Q391" s="16" t="s">
        <v>113</v>
      </c>
      <c r="R391" s="16" t="s">
        <v>91</v>
      </c>
      <c r="S391" s="16" t="s">
        <v>95</v>
      </c>
      <c r="T391" s="16" t="s">
        <v>86</v>
      </c>
      <c r="U391" s="16" t="s">
        <v>109</v>
      </c>
      <c r="V391" s="16" t="s">
        <v>122</v>
      </c>
      <c r="W391" s="16" t="s">
        <v>127</v>
      </c>
    </row>
    <row r="392" spans="1:23">
      <c r="A392" s="9" t="s">
        <v>1183</v>
      </c>
      <c r="B392" s="9">
        <f ca="1">+IF(A392=WORLDCUP!$BI$112,1,0)</f>
        <v>0</v>
      </c>
      <c r="C392" s="9" t="str">
        <f ca="1">+WORLDCUP!BD62</f>
        <v>Ivory Coast</v>
      </c>
      <c r="D392" s="9" t="str">
        <f ca="1">+WORLDCUP!BD67</f>
        <v>Algeria</v>
      </c>
      <c r="E392" s="9" t="str">
        <f ca="1">+WORLDCUP!BD59</f>
        <v>Switzerland</v>
      </c>
      <c r="F392" s="9" t="str">
        <f ca="1">+WORLDCUP!BD58</f>
        <v>South Korea</v>
      </c>
      <c r="G392" s="9" t="str">
        <f ca="1">+WORLDCUP!BD66</f>
        <v>Norway</v>
      </c>
      <c r="H392" s="9" t="str">
        <f ca="1">+WORLDCUP!BD60</f>
        <v>Scotland</v>
      </c>
      <c r="I392" s="9" t="str">
        <f ca="1">+WORLDCUP!BD69</f>
        <v>Croatia</v>
      </c>
      <c r="J392" s="9" t="str">
        <f ca="1">+WORLDCUP!BD68</f>
        <v>DR Congo</v>
      </c>
      <c r="N392" s="16" t="s">
        <v>1183</v>
      </c>
      <c r="O392" s="16">
        <v>391</v>
      </c>
      <c r="P392" s="16" t="s">
        <v>104</v>
      </c>
      <c r="Q392" s="16" t="s">
        <v>127</v>
      </c>
      <c r="R392" s="16" t="s">
        <v>91</v>
      </c>
      <c r="S392" s="16" t="s">
        <v>86</v>
      </c>
      <c r="T392" s="16" t="s">
        <v>122</v>
      </c>
      <c r="U392" s="16" t="s">
        <v>95</v>
      </c>
      <c r="V392" s="16" t="s">
        <v>136</v>
      </c>
      <c r="W392" s="16" t="s">
        <v>131</v>
      </c>
    </row>
    <row r="393" spans="1:23">
      <c r="A393" s="9" t="s">
        <v>1184</v>
      </c>
      <c r="B393" s="9">
        <f ca="1">+IF(A393=WORLDCUP!$BI$112,1,0)</f>
        <v>0</v>
      </c>
      <c r="C393" s="9" t="str">
        <f ca="1">+WORLDCUP!BD62</f>
        <v>Ivory Coast</v>
      </c>
      <c r="D393" s="9" t="str">
        <f ca="1">+WORLDCUP!BD67</f>
        <v>Algeria</v>
      </c>
      <c r="E393" s="9" t="str">
        <f ca="1">+WORLDCUP!BD59</f>
        <v>Switzerland</v>
      </c>
      <c r="F393" s="9" t="str">
        <f ca="1">+WORLDCUP!BD60</f>
        <v>Scotland</v>
      </c>
      <c r="G393" s="9" t="str">
        <f ca="1">+WORLDCUP!BD58</f>
        <v>South Korea</v>
      </c>
      <c r="H393" s="9" t="str">
        <f ca="1">+WORLDCUP!BD65</f>
        <v>Saudi Arabia</v>
      </c>
      <c r="I393" s="9" t="str">
        <f ca="1">+WORLDCUP!BD69</f>
        <v>Croatia</v>
      </c>
      <c r="J393" s="9" t="str">
        <f ca="1">+WORLDCUP!BD68</f>
        <v>DR Congo</v>
      </c>
      <c r="N393" s="16" t="s">
        <v>1184</v>
      </c>
      <c r="O393" s="16">
        <v>392</v>
      </c>
      <c r="P393" s="16" t="s">
        <v>104</v>
      </c>
      <c r="Q393" s="16" t="s">
        <v>127</v>
      </c>
      <c r="R393" s="16" t="s">
        <v>91</v>
      </c>
      <c r="S393" s="16" t="s">
        <v>95</v>
      </c>
      <c r="T393" s="16" t="s">
        <v>86</v>
      </c>
      <c r="U393" s="16" t="s">
        <v>118</v>
      </c>
      <c r="V393" s="16" t="s">
        <v>136</v>
      </c>
      <c r="W393" s="16" t="s">
        <v>131</v>
      </c>
    </row>
    <row r="394" spans="1:23">
      <c r="A394" s="9" t="s">
        <v>1185</v>
      </c>
      <c r="B394" s="9">
        <f ca="1">+IF(A394=WORLDCUP!$BI$112,1,0)</f>
        <v>0</v>
      </c>
      <c r="C394" s="9" t="str">
        <f ca="1">+WORLDCUP!BD62</f>
        <v>Ivory Coast</v>
      </c>
      <c r="D394" s="9" t="str">
        <f ca="1">+WORLDCUP!BD66</f>
        <v>Norway</v>
      </c>
      <c r="E394" s="9" t="str">
        <f ca="1">+WORLDCUP!BD59</f>
        <v>Switzerland</v>
      </c>
      <c r="F394" s="9" t="str">
        <f ca="1">+WORLDCUP!BD60</f>
        <v>Scotland</v>
      </c>
      <c r="G394" s="9" t="str">
        <f ca="1">+WORLDCUP!BD58</f>
        <v>South Korea</v>
      </c>
      <c r="H394" s="9" t="str">
        <f ca="1">+WORLDCUP!BD65</f>
        <v>Saudi Arabia</v>
      </c>
      <c r="I394" s="9" t="str">
        <f ca="1">+WORLDCUP!BD69</f>
        <v>Croatia</v>
      </c>
      <c r="J394" s="9" t="str">
        <f ca="1">+WORLDCUP!BD68</f>
        <v>DR Congo</v>
      </c>
      <c r="N394" s="16" t="s">
        <v>1185</v>
      </c>
      <c r="O394" s="16">
        <v>393</v>
      </c>
      <c r="P394" s="16" t="s">
        <v>104</v>
      </c>
      <c r="Q394" s="16" t="s">
        <v>122</v>
      </c>
      <c r="R394" s="16" t="s">
        <v>91</v>
      </c>
      <c r="S394" s="16" t="s">
        <v>95</v>
      </c>
      <c r="T394" s="16" t="s">
        <v>86</v>
      </c>
      <c r="U394" s="16" t="s">
        <v>118</v>
      </c>
      <c r="V394" s="16" t="s">
        <v>136</v>
      </c>
      <c r="W394" s="16" t="s">
        <v>131</v>
      </c>
    </row>
    <row r="395" spans="1:23">
      <c r="A395" s="9" t="s">
        <v>1186</v>
      </c>
      <c r="B395" s="9">
        <f ca="1">+IF(A395=WORLDCUP!$BI$112,1,0)</f>
        <v>0</v>
      </c>
      <c r="C395" s="9" t="str">
        <f ca="1">+WORLDCUP!BD62</f>
        <v>Ivory Coast</v>
      </c>
      <c r="D395" s="9" t="str">
        <f ca="1">+WORLDCUP!BD67</f>
        <v>Algeria</v>
      </c>
      <c r="E395" s="9" t="str">
        <f ca="1">+WORLDCUP!BD59</f>
        <v>Switzerland</v>
      </c>
      <c r="F395" s="9" t="str">
        <f ca="1">+WORLDCUP!BD60</f>
        <v>Scotland</v>
      </c>
      <c r="G395" s="9" t="str">
        <f ca="1">+WORLDCUP!BD58</f>
        <v>South Korea</v>
      </c>
      <c r="H395" s="9" t="str">
        <f ca="1">+WORLDCUP!BD65</f>
        <v>Saudi Arabia</v>
      </c>
      <c r="I395" s="9" t="str">
        <f ca="1">+WORLDCUP!BD69</f>
        <v>Croatia</v>
      </c>
      <c r="J395" s="9" t="str">
        <f ca="1">+WORLDCUP!BD66</f>
        <v>Norway</v>
      </c>
      <c r="N395" s="16" t="s">
        <v>1186</v>
      </c>
      <c r="O395" s="16">
        <v>394</v>
      </c>
      <c r="P395" s="16" t="s">
        <v>104</v>
      </c>
      <c r="Q395" s="16" t="s">
        <v>127</v>
      </c>
      <c r="R395" s="16" t="s">
        <v>91</v>
      </c>
      <c r="S395" s="16" t="s">
        <v>95</v>
      </c>
      <c r="T395" s="16" t="s">
        <v>86</v>
      </c>
      <c r="U395" s="16" t="s">
        <v>118</v>
      </c>
      <c r="V395" s="16" t="s">
        <v>136</v>
      </c>
      <c r="W395" s="16" t="s">
        <v>122</v>
      </c>
    </row>
    <row r="396" spans="1:23">
      <c r="A396" s="9" t="s">
        <v>1187</v>
      </c>
      <c r="B396" s="9">
        <f ca="1">+IF(A396=WORLDCUP!$BI$112,1,0)</f>
        <v>0</v>
      </c>
      <c r="C396" s="9" t="str">
        <f ca="1">+WORLDCUP!BD62</f>
        <v>Ivory Coast</v>
      </c>
      <c r="D396" s="9" t="str">
        <f ca="1">+WORLDCUP!BD67</f>
        <v>Algeria</v>
      </c>
      <c r="E396" s="9" t="str">
        <f ca="1">+WORLDCUP!BD59</f>
        <v>Switzerland</v>
      </c>
      <c r="F396" s="9" t="str">
        <f ca="1">+WORLDCUP!BD60</f>
        <v>Scotland</v>
      </c>
      <c r="G396" s="9" t="str">
        <f ca="1">+WORLDCUP!BD58</f>
        <v>South Korea</v>
      </c>
      <c r="H396" s="9" t="str">
        <f ca="1">+WORLDCUP!BD65</f>
        <v>Saudi Arabia</v>
      </c>
      <c r="I396" s="9" t="str">
        <f ca="1">+WORLDCUP!BD66</f>
        <v>Norway</v>
      </c>
      <c r="J396" s="9" t="str">
        <f ca="1">+WORLDCUP!BD68</f>
        <v>DR Congo</v>
      </c>
      <c r="N396" s="16" t="s">
        <v>1187</v>
      </c>
      <c r="O396" s="16">
        <v>395</v>
      </c>
      <c r="P396" s="16" t="s">
        <v>104</v>
      </c>
      <c r="Q396" s="16" t="s">
        <v>127</v>
      </c>
      <c r="R396" s="16" t="s">
        <v>91</v>
      </c>
      <c r="S396" s="16" t="s">
        <v>95</v>
      </c>
      <c r="T396" s="16" t="s">
        <v>86</v>
      </c>
      <c r="U396" s="16" t="s">
        <v>118</v>
      </c>
      <c r="V396" s="16" t="s">
        <v>122</v>
      </c>
      <c r="W396" s="16" t="s">
        <v>131</v>
      </c>
    </row>
    <row r="397" spans="1:23">
      <c r="A397" s="9" t="s">
        <v>1188</v>
      </c>
      <c r="B397" s="9">
        <f ca="1">+IF(A397=WORLDCUP!$BI$112,1,0)</f>
        <v>0</v>
      </c>
      <c r="C397" s="9" t="str">
        <f ca="1">+WORLDCUP!BD62</f>
        <v>Ivory Coast</v>
      </c>
      <c r="D397" s="9" t="str">
        <f ca="1">+WORLDCUP!BD67</f>
        <v>Algeria</v>
      </c>
      <c r="E397" s="9" t="str">
        <f ca="1">+WORLDCUP!BD59</f>
        <v>Switzerland</v>
      </c>
      <c r="F397" s="9" t="str">
        <f ca="1">+WORLDCUP!BD60</f>
        <v>Scotland</v>
      </c>
      <c r="G397" s="9" t="str">
        <f ca="1">+WORLDCUP!BD58</f>
        <v>South Korea</v>
      </c>
      <c r="H397" s="9" t="str">
        <f ca="1">+WORLDCUP!BD64</f>
        <v>Egypt</v>
      </c>
      <c r="I397" s="9" t="str">
        <f ca="1">+WORLDCUP!BD69</f>
        <v>Croatia</v>
      </c>
      <c r="J397" s="9" t="str">
        <f ca="1">+WORLDCUP!BD68</f>
        <v>DR Congo</v>
      </c>
      <c r="N397" s="16" t="s">
        <v>1188</v>
      </c>
      <c r="O397" s="16">
        <v>396</v>
      </c>
      <c r="P397" s="16" t="s">
        <v>104</v>
      </c>
      <c r="Q397" s="16" t="s">
        <v>127</v>
      </c>
      <c r="R397" s="16" t="s">
        <v>91</v>
      </c>
      <c r="S397" s="16" t="s">
        <v>95</v>
      </c>
      <c r="T397" s="16" t="s">
        <v>86</v>
      </c>
      <c r="U397" s="16" t="s">
        <v>113</v>
      </c>
      <c r="V397" s="16" t="s">
        <v>136</v>
      </c>
      <c r="W397" s="16" t="s">
        <v>131</v>
      </c>
    </row>
    <row r="398" spans="1:23">
      <c r="A398" s="9" t="s">
        <v>1189</v>
      </c>
      <c r="B398" s="9">
        <f ca="1">+IF(A398=WORLDCUP!$BI$112,1,0)</f>
        <v>1</v>
      </c>
      <c r="C398" s="9" t="str">
        <f ca="1">+WORLDCUP!BD62</f>
        <v>Ivory Coast</v>
      </c>
      <c r="D398" s="9" t="str">
        <f ca="1">+WORLDCUP!BD64</f>
        <v>Egypt</v>
      </c>
      <c r="E398" s="9" t="str">
        <f ca="1">+WORLDCUP!BD59</f>
        <v>Switzerland</v>
      </c>
      <c r="F398" s="9" t="str">
        <f ca="1">+WORLDCUP!BD58</f>
        <v>South Korea</v>
      </c>
      <c r="G398" s="9" t="str">
        <f ca="1">+WORLDCUP!BD66</f>
        <v>Norway</v>
      </c>
      <c r="H398" s="9" t="str">
        <f ca="1">+WORLDCUP!BD60</f>
        <v>Scotland</v>
      </c>
      <c r="I398" s="9" t="str">
        <f ca="1">+WORLDCUP!BD69</f>
        <v>Croatia</v>
      </c>
      <c r="J398" s="9" t="str">
        <f ca="1">+WORLDCUP!BD68</f>
        <v>DR Congo</v>
      </c>
      <c r="N398" s="16" t="s">
        <v>1189</v>
      </c>
      <c r="O398" s="16">
        <v>397</v>
      </c>
      <c r="P398" s="16" t="s">
        <v>104</v>
      </c>
      <c r="Q398" s="16" t="s">
        <v>113</v>
      </c>
      <c r="R398" s="16" t="s">
        <v>91</v>
      </c>
      <c r="S398" s="16" t="s">
        <v>86</v>
      </c>
      <c r="T398" s="16" t="s">
        <v>122</v>
      </c>
      <c r="U398" s="16" t="s">
        <v>95</v>
      </c>
      <c r="V398" s="16" t="s">
        <v>136</v>
      </c>
      <c r="W398" s="16" t="s">
        <v>131</v>
      </c>
    </row>
    <row r="399" spans="1:23">
      <c r="A399" s="9" t="s">
        <v>1190</v>
      </c>
      <c r="B399" s="9">
        <f ca="1">+IF(A399=WORLDCUP!$BI$112,1,0)</f>
        <v>0</v>
      </c>
      <c r="C399" s="9" t="str">
        <f ca="1">+WORLDCUP!BD62</f>
        <v>Ivory Coast</v>
      </c>
      <c r="D399" s="9" t="str">
        <f ca="1">+WORLDCUP!BD67</f>
        <v>Algeria</v>
      </c>
      <c r="E399" s="9" t="str">
        <f ca="1">+WORLDCUP!BD59</f>
        <v>Switzerland</v>
      </c>
      <c r="F399" s="9" t="str">
        <f ca="1">+WORLDCUP!BD60</f>
        <v>Scotland</v>
      </c>
      <c r="G399" s="9" t="str">
        <f ca="1">+WORLDCUP!BD58</f>
        <v>South Korea</v>
      </c>
      <c r="H399" s="9" t="str">
        <f ca="1">+WORLDCUP!BD64</f>
        <v>Egypt</v>
      </c>
      <c r="I399" s="9" t="str">
        <f ca="1">+WORLDCUP!BD69</f>
        <v>Croatia</v>
      </c>
      <c r="J399" s="9" t="str">
        <f ca="1">+WORLDCUP!BD66</f>
        <v>Norway</v>
      </c>
      <c r="N399" s="16" t="s">
        <v>1190</v>
      </c>
      <c r="O399" s="16">
        <v>398</v>
      </c>
      <c r="P399" s="16" t="s">
        <v>104</v>
      </c>
      <c r="Q399" s="16" t="s">
        <v>127</v>
      </c>
      <c r="R399" s="16" t="s">
        <v>91</v>
      </c>
      <c r="S399" s="16" t="s">
        <v>95</v>
      </c>
      <c r="T399" s="16" t="s">
        <v>86</v>
      </c>
      <c r="U399" s="16" t="s">
        <v>113</v>
      </c>
      <c r="V399" s="16" t="s">
        <v>136</v>
      </c>
      <c r="W399" s="16" t="s">
        <v>122</v>
      </c>
    </row>
    <row r="400" spans="1:23">
      <c r="A400" s="9" t="s">
        <v>1191</v>
      </c>
      <c r="B400" s="9">
        <f ca="1">+IF(A400=WORLDCUP!$BI$112,1,0)</f>
        <v>0</v>
      </c>
      <c r="C400" s="9" t="str">
        <f ca="1">+WORLDCUP!BD62</f>
        <v>Ivory Coast</v>
      </c>
      <c r="D400" s="9" t="str">
        <f ca="1">+WORLDCUP!BD67</f>
        <v>Algeria</v>
      </c>
      <c r="E400" s="9" t="str">
        <f ca="1">+WORLDCUP!BD59</f>
        <v>Switzerland</v>
      </c>
      <c r="F400" s="9" t="str">
        <f ca="1">+WORLDCUP!BD60</f>
        <v>Scotland</v>
      </c>
      <c r="G400" s="9" t="str">
        <f ca="1">+WORLDCUP!BD58</f>
        <v>South Korea</v>
      </c>
      <c r="H400" s="9" t="str">
        <f ca="1">+WORLDCUP!BD64</f>
        <v>Egypt</v>
      </c>
      <c r="I400" s="9" t="str">
        <f ca="1">+WORLDCUP!BD66</f>
        <v>Norway</v>
      </c>
      <c r="J400" s="9" t="str">
        <f ca="1">+WORLDCUP!BD68</f>
        <v>DR Congo</v>
      </c>
      <c r="N400" s="16" t="s">
        <v>1191</v>
      </c>
      <c r="O400" s="16">
        <v>399</v>
      </c>
      <c r="P400" s="16" t="s">
        <v>104</v>
      </c>
      <c r="Q400" s="16" t="s">
        <v>127</v>
      </c>
      <c r="R400" s="16" t="s">
        <v>91</v>
      </c>
      <c r="S400" s="16" t="s">
        <v>95</v>
      </c>
      <c r="T400" s="16" t="s">
        <v>86</v>
      </c>
      <c r="U400" s="16" t="s">
        <v>113</v>
      </c>
      <c r="V400" s="16" t="s">
        <v>122</v>
      </c>
      <c r="W400" s="16" t="s">
        <v>131</v>
      </c>
    </row>
    <row r="401" spans="1:23">
      <c r="A401" s="9" t="s">
        <v>1192</v>
      </c>
      <c r="B401" s="9">
        <f ca="1">+IF(A401=WORLDCUP!$BI$112,1,0)</f>
        <v>0</v>
      </c>
      <c r="C401" s="9" t="str">
        <f ca="1">+WORLDCUP!BD62</f>
        <v>Ivory Coast</v>
      </c>
      <c r="D401" s="9" t="str">
        <f ca="1">+WORLDCUP!BD64</f>
        <v>Egypt</v>
      </c>
      <c r="E401" s="9" t="str">
        <f ca="1">+WORLDCUP!BD59</f>
        <v>Switzerland</v>
      </c>
      <c r="F401" s="9" t="str">
        <f ca="1">+WORLDCUP!BD60</f>
        <v>Scotland</v>
      </c>
      <c r="G401" s="9" t="str">
        <f ca="1">+WORLDCUP!BD58</f>
        <v>South Korea</v>
      </c>
      <c r="H401" s="9" t="str">
        <f ca="1">+WORLDCUP!BD65</f>
        <v>Saudi Arabia</v>
      </c>
      <c r="I401" s="9" t="str">
        <f ca="1">+WORLDCUP!BD69</f>
        <v>Croatia</v>
      </c>
      <c r="J401" s="9" t="str">
        <f ca="1">+WORLDCUP!BD68</f>
        <v>DR Congo</v>
      </c>
      <c r="N401" s="16" t="s">
        <v>1192</v>
      </c>
      <c r="O401" s="16">
        <v>400</v>
      </c>
      <c r="P401" s="16" t="s">
        <v>104</v>
      </c>
      <c r="Q401" s="16" t="s">
        <v>113</v>
      </c>
      <c r="R401" s="16" t="s">
        <v>91</v>
      </c>
      <c r="S401" s="16" t="s">
        <v>95</v>
      </c>
      <c r="T401" s="16" t="s">
        <v>86</v>
      </c>
      <c r="U401" s="16" t="s">
        <v>118</v>
      </c>
      <c r="V401" s="16" t="s">
        <v>136</v>
      </c>
      <c r="W401" s="16" t="s">
        <v>131</v>
      </c>
    </row>
    <row r="402" spans="1:23">
      <c r="A402" s="9" t="s">
        <v>1193</v>
      </c>
      <c r="B402" s="9">
        <f ca="1">+IF(A402=WORLDCUP!$BI$112,1,0)</f>
        <v>0</v>
      </c>
      <c r="C402" s="9" t="str">
        <f ca="1">+WORLDCUP!BD65</f>
        <v>Saudi Arabia</v>
      </c>
      <c r="D402" s="9" t="str">
        <f ca="1">+WORLDCUP!BD67</f>
        <v>Algeria</v>
      </c>
      <c r="E402" s="9" t="str">
        <f ca="1">+WORLDCUP!BD59</f>
        <v>Switzerland</v>
      </c>
      <c r="F402" s="9" t="str">
        <f ca="1">+WORLDCUP!BD60</f>
        <v>Scotland</v>
      </c>
      <c r="G402" s="9" t="str">
        <f ca="1">+WORLDCUP!BD58</f>
        <v>South Korea</v>
      </c>
      <c r="H402" s="9" t="str">
        <f ca="1">+WORLDCUP!BD64</f>
        <v>Egypt</v>
      </c>
      <c r="I402" s="9" t="str">
        <f ca="1">+WORLDCUP!BD69</f>
        <v>Croatia</v>
      </c>
      <c r="J402" s="9" t="str">
        <f ca="1">+WORLDCUP!BD62</f>
        <v>Ivory Coast</v>
      </c>
      <c r="N402" s="16" t="s">
        <v>1193</v>
      </c>
      <c r="O402" s="16">
        <v>401</v>
      </c>
      <c r="P402" s="16" t="s">
        <v>118</v>
      </c>
      <c r="Q402" s="16" t="s">
        <v>127</v>
      </c>
      <c r="R402" s="16" t="s">
        <v>91</v>
      </c>
      <c r="S402" s="16" t="s">
        <v>95</v>
      </c>
      <c r="T402" s="16" t="s">
        <v>86</v>
      </c>
      <c r="U402" s="16" t="s">
        <v>113</v>
      </c>
      <c r="V402" s="16" t="s">
        <v>136</v>
      </c>
      <c r="W402" s="16" t="s">
        <v>104</v>
      </c>
    </row>
    <row r="403" spans="1:23">
      <c r="A403" s="9" t="s">
        <v>1194</v>
      </c>
      <c r="B403" s="9">
        <f ca="1">+IF(A403=WORLDCUP!$BI$112,1,0)</f>
        <v>0</v>
      </c>
      <c r="C403" s="9" t="str">
        <f ca="1">+WORLDCUP!BD65</f>
        <v>Saudi Arabia</v>
      </c>
      <c r="D403" s="9" t="str">
        <f ca="1">+WORLDCUP!BD67</f>
        <v>Algeria</v>
      </c>
      <c r="E403" s="9" t="str">
        <f ca="1">+WORLDCUP!BD59</f>
        <v>Switzerland</v>
      </c>
      <c r="F403" s="9" t="str">
        <f ca="1">+WORLDCUP!BD60</f>
        <v>Scotland</v>
      </c>
      <c r="G403" s="9" t="str">
        <f ca="1">+WORLDCUP!BD58</f>
        <v>South Korea</v>
      </c>
      <c r="H403" s="9" t="str">
        <f ca="1">+WORLDCUP!BD64</f>
        <v>Egypt</v>
      </c>
      <c r="I403" s="9" t="str">
        <f ca="1">+WORLDCUP!BD62</f>
        <v>Ivory Coast</v>
      </c>
      <c r="J403" s="9" t="str">
        <f ca="1">+WORLDCUP!BD68</f>
        <v>DR Congo</v>
      </c>
      <c r="N403" s="16" t="s">
        <v>1194</v>
      </c>
      <c r="O403" s="16">
        <v>402</v>
      </c>
      <c r="P403" s="16" t="s">
        <v>118</v>
      </c>
      <c r="Q403" s="16" t="s">
        <v>127</v>
      </c>
      <c r="R403" s="16" t="s">
        <v>91</v>
      </c>
      <c r="S403" s="16" t="s">
        <v>95</v>
      </c>
      <c r="T403" s="16" t="s">
        <v>86</v>
      </c>
      <c r="U403" s="16" t="s">
        <v>113</v>
      </c>
      <c r="V403" s="16" t="s">
        <v>104</v>
      </c>
      <c r="W403" s="16" t="s">
        <v>131</v>
      </c>
    </row>
    <row r="404" spans="1:23">
      <c r="A404" s="9" t="s">
        <v>1195</v>
      </c>
      <c r="B404" s="9">
        <f ca="1">+IF(A404=WORLDCUP!$BI$112,1,0)</f>
        <v>0</v>
      </c>
      <c r="C404" s="9" t="str">
        <f ca="1">+WORLDCUP!BD62</f>
        <v>Ivory Coast</v>
      </c>
      <c r="D404" s="9" t="str">
        <f ca="1">+WORLDCUP!BD64</f>
        <v>Egypt</v>
      </c>
      <c r="E404" s="9" t="str">
        <f ca="1">+WORLDCUP!BD59</f>
        <v>Switzerland</v>
      </c>
      <c r="F404" s="9" t="str">
        <f ca="1">+WORLDCUP!BD60</f>
        <v>Scotland</v>
      </c>
      <c r="G404" s="9" t="str">
        <f ca="1">+WORLDCUP!BD58</f>
        <v>South Korea</v>
      </c>
      <c r="H404" s="9" t="str">
        <f ca="1">+WORLDCUP!BD65</f>
        <v>Saudi Arabia</v>
      </c>
      <c r="I404" s="9" t="str">
        <f ca="1">+WORLDCUP!BD69</f>
        <v>Croatia</v>
      </c>
      <c r="J404" s="9" t="str">
        <f ca="1">+WORLDCUP!BD66</f>
        <v>Norway</v>
      </c>
      <c r="N404" s="16" t="s">
        <v>1195</v>
      </c>
      <c r="O404" s="16">
        <v>403</v>
      </c>
      <c r="P404" s="16" t="s">
        <v>104</v>
      </c>
      <c r="Q404" s="16" t="s">
        <v>113</v>
      </c>
      <c r="R404" s="16" t="s">
        <v>91</v>
      </c>
      <c r="S404" s="16" t="s">
        <v>95</v>
      </c>
      <c r="T404" s="16" t="s">
        <v>86</v>
      </c>
      <c r="U404" s="16" t="s">
        <v>118</v>
      </c>
      <c r="V404" s="16" t="s">
        <v>136</v>
      </c>
      <c r="W404" s="16" t="s">
        <v>122</v>
      </c>
    </row>
    <row r="405" spans="1:23">
      <c r="A405" s="9" t="s">
        <v>1196</v>
      </c>
      <c r="B405" s="9">
        <f ca="1">+IF(A405=WORLDCUP!$BI$112,1,0)</f>
        <v>0</v>
      </c>
      <c r="C405" s="9" t="str">
        <f ca="1">+WORLDCUP!BD62</f>
        <v>Ivory Coast</v>
      </c>
      <c r="D405" s="9" t="str">
        <f ca="1">+WORLDCUP!BD64</f>
        <v>Egypt</v>
      </c>
      <c r="E405" s="9" t="str">
        <f ca="1">+WORLDCUP!BD59</f>
        <v>Switzerland</v>
      </c>
      <c r="F405" s="9" t="str">
        <f ca="1">+WORLDCUP!BD60</f>
        <v>Scotland</v>
      </c>
      <c r="G405" s="9" t="str">
        <f ca="1">+WORLDCUP!BD58</f>
        <v>South Korea</v>
      </c>
      <c r="H405" s="9" t="str">
        <f ca="1">+WORLDCUP!BD65</f>
        <v>Saudi Arabia</v>
      </c>
      <c r="I405" s="9" t="str">
        <f ca="1">+WORLDCUP!BD66</f>
        <v>Norway</v>
      </c>
      <c r="J405" s="9" t="str">
        <f ca="1">+WORLDCUP!BD68</f>
        <v>DR Congo</v>
      </c>
      <c r="N405" s="16" t="s">
        <v>1196</v>
      </c>
      <c r="O405" s="16">
        <v>404</v>
      </c>
      <c r="P405" s="16" t="s">
        <v>104</v>
      </c>
      <c r="Q405" s="16" t="s">
        <v>113</v>
      </c>
      <c r="R405" s="16" t="s">
        <v>91</v>
      </c>
      <c r="S405" s="16" t="s">
        <v>95</v>
      </c>
      <c r="T405" s="16" t="s">
        <v>86</v>
      </c>
      <c r="U405" s="16" t="s">
        <v>118</v>
      </c>
      <c r="V405" s="16" t="s">
        <v>122</v>
      </c>
      <c r="W405" s="16" t="s">
        <v>131</v>
      </c>
    </row>
    <row r="406" spans="1:23">
      <c r="A406" s="9" t="s">
        <v>1197</v>
      </c>
      <c r="B406" s="9">
        <f ca="1">+IF(A406=WORLDCUP!$BI$112,1,0)</f>
        <v>0</v>
      </c>
      <c r="C406" s="9" t="str">
        <f ca="1">+WORLDCUP!BD65</f>
        <v>Saudi Arabia</v>
      </c>
      <c r="D406" s="9" t="str">
        <f ca="1">+WORLDCUP!BD67</f>
        <v>Algeria</v>
      </c>
      <c r="E406" s="9" t="str">
        <f ca="1">+WORLDCUP!BD59</f>
        <v>Switzerland</v>
      </c>
      <c r="F406" s="9" t="str">
        <f ca="1">+WORLDCUP!BD60</f>
        <v>Scotland</v>
      </c>
      <c r="G406" s="9" t="str">
        <f ca="1">+WORLDCUP!BD58</f>
        <v>South Korea</v>
      </c>
      <c r="H406" s="9" t="str">
        <f ca="1">+WORLDCUP!BD64</f>
        <v>Egypt</v>
      </c>
      <c r="I406" s="9" t="str">
        <f ca="1">+WORLDCUP!BD62</f>
        <v>Ivory Coast</v>
      </c>
      <c r="J406" s="9" t="str">
        <f ca="1">+WORLDCUP!BD66</f>
        <v>Norway</v>
      </c>
      <c r="N406" s="16" t="s">
        <v>1197</v>
      </c>
      <c r="O406" s="16">
        <v>405</v>
      </c>
      <c r="P406" s="16" t="s">
        <v>118</v>
      </c>
      <c r="Q406" s="16" t="s">
        <v>127</v>
      </c>
      <c r="R406" s="16" t="s">
        <v>91</v>
      </c>
      <c r="S406" s="16" t="s">
        <v>95</v>
      </c>
      <c r="T406" s="16" t="s">
        <v>86</v>
      </c>
      <c r="U406" s="16" t="s">
        <v>113</v>
      </c>
      <c r="V406" s="16" t="s">
        <v>104</v>
      </c>
      <c r="W406" s="16" t="s">
        <v>122</v>
      </c>
    </row>
    <row r="407" spans="1:23">
      <c r="A407" s="9" t="s">
        <v>1198</v>
      </c>
      <c r="B407" s="9">
        <f ca="1">+IF(A407=WORLDCUP!$BI$112,1,0)</f>
        <v>0</v>
      </c>
      <c r="C407" s="9" t="str">
        <f ca="1">+WORLDCUP!BD62</f>
        <v>Ivory Coast</v>
      </c>
      <c r="D407" s="9" t="str">
        <f ca="1">+WORLDCUP!BD67</f>
        <v>Algeria</v>
      </c>
      <c r="E407" s="9" t="str">
        <f ca="1">+WORLDCUP!BD59</f>
        <v>Switzerland</v>
      </c>
      <c r="F407" s="9" t="str">
        <f ca="1">+WORLDCUP!BD60</f>
        <v>Scotland</v>
      </c>
      <c r="G407" s="9" t="str">
        <f ca="1">+WORLDCUP!BD58</f>
        <v>South Korea</v>
      </c>
      <c r="H407" s="9" t="str">
        <f ca="1">+WORLDCUP!BD63</f>
        <v>Tunisia</v>
      </c>
      <c r="I407" s="9" t="str">
        <f ca="1">+WORLDCUP!BD69</f>
        <v>Croatia</v>
      </c>
      <c r="J407" s="9" t="str">
        <f ca="1">+WORLDCUP!BD68</f>
        <v>DR Congo</v>
      </c>
      <c r="N407" s="16" t="s">
        <v>1198</v>
      </c>
      <c r="O407" s="16">
        <v>406</v>
      </c>
      <c r="P407" s="16" t="s">
        <v>104</v>
      </c>
      <c r="Q407" s="16" t="s">
        <v>127</v>
      </c>
      <c r="R407" s="16" t="s">
        <v>91</v>
      </c>
      <c r="S407" s="16" t="s">
        <v>95</v>
      </c>
      <c r="T407" s="16" t="s">
        <v>86</v>
      </c>
      <c r="U407" s="16" t="s">
        <v>109</v>
      </c>
      <c r="V407" s="16" t="s">
        <v>136</v>
      </c>
      <c r="W407" s="16" t="s">
        <v>131</v>
      </c>
    </row>
    <row r="408" spans="1:23">
      <c r="A408" s="9" t="s">
        <v>1199</v>
      </c>
      <c r="B408" s="9">
        <f ca="1">+IF(A408=WORLDCUP!$BI$112,1,0)</f>
        <v>0</v>
      </c>
      <c r="C408" s="9" t="str">
        <f ca="1">+WORLDCUP!BD62</f>
        <v>Ivory Coast</v>
      </c>
      <c r="D408" s="9" t="str">
        <f ca="1">+WORLDCUP!BD66</f>
        <v>Norway</v>
      </c>
      <c r="E408" s="9" t="str">
        <f ca="1">+WORLDCUP!BD59</f>
        <v>Switzerland</v>
      </c>
      <c r="F408" s="9" t="str">
        <f ca="1">+WORLDCUP!BD60</f>
        <v>Scotland</v>
      </c>
      <c r="G408" s="9" t="str">
        <f ca="1">+WORLDCUP!BD58</f>
        <v>South Korea</v>
      </c>
      <c r="H408" s="9" t="str">
        <f ca="1">+WORLDCUP!BD63</f>
        <v>Tunisia</v>
      </c>
      <c r="I408" s="9" t="str">
        <f ca="1">+WORLDCUP!BD69</f>
        <v>Croatia</v>
      </c>
      <c r="J408" s="9" t="str">
        <f ca="1">+WORLDCUP!BD68</f>
        <v>DR Congo</v>
      </c>
      <c r="N408" s="16" t="s">
        <v>1199</v>
      </c>
      <c r="O408" s="16">
        <v>407</v>
      </c>
      <c r="P408" s="16" t="s">
        <v>104</v>
      </c>
      <c r="Q408" s="16" t="s">
        <v>122</v>
      </c>
      <c r="R408" s="16" t="s">
        <v>91</v>
      </c>
      <c r="S408" s="16" t="s">
        <v>95</v>
      </c>
      <c r="T408" s="16" t="s">
        <v>86</v>
      </c>
      <c r="U408" s="16" t="s">
        <v>109</v>
      </c>
      <c r="V408" s="16" t="s">
        <v>136</v>
      </c>
      <c r="W408" s="16" t="s">
        <v>131</v>
      </c>
    </row>
    <row r="409" spans="1:23">
      <c r="A409" s="9" t="s">
        <v>1200</v>
      </c>
      <c r="B409" s="9">
        <f ca="1">+IF(A409=WORLDCUP!$BI$112,1,0)</f>
        <v>0</v>
      </c>
      <c r="C409" s="9" t="str">
        <f ca="1">+WORLDCUP!BD62</f>
        <v>Ivory Coast</v>
      </c>
      <c r="D409" s="9" t="str">
        <f ca="1">+WORLDCUP!BD67</f>
        <v>Algeria</v>
      </c>
      <c r="E409" s="9" t="str">
        <f ca="1">+WORLDCUP!BD59</f>
        <v>Switzerland</v>
      </c>
      <c r="F409" s="9" t="str">
        <f ca="1">+WORLDCUP!BD60</f>
        <v>Scotland</v>
      </c>
      <c r="G409" s="9" t="str">
        <f ca="1">+WORLDCUP!BD58</f>
        <v>South Korea</v>
      </c>
      <c r="H409" s="9" t="str">
        <f ca="1">+WORLDCUP!BD63</f>
        <v>Tunisia</v>
      </c>
      <c r="I409" s="9" t="str">
        <f ca="1">+WORLDCUP!BD69</f>
        <v>Croatia</v>
      </c>
      <c r="J409" s="9" t="str">
        <f ca="1">+WORLDCUP!BD66</f>
        <v>Norway</v>
      </c>
      <c r="N409" s="16" t="s">
        <v>1200</v>
      </c>
      <c r="O409" s="16">
        <v>408</v>
      </c>
      <c r="P409" s="16" t="s">
        <v>104</v>
      </c>
      <c r="Q409" s="16" t="s">
        <v>127</v>
      </c>
      <c r="R409" s="16" t="s">
        <v>91</v>
      </c>
      <c r="S409" s="16" t="s">
        <v>95</v>
      </c>
      <c r="T409" s="16" t="s">
        <v>86</v>
      </c>
      <c r="U409" s="16" t="s">
        <v>109</v>
      </c>
      <c r="V409" s="16" t="s">
        <v>136</v>
      </c>
      <c r="W409" s="16" t="s">
        <v>122</v>
      </c>
    </row>
    <row r="410" spans="1:23">
      <c r="A410" s="9" t="s">
        <v>1201</v>
      </c>
      <c r="B410" s="9">
        <f ca="1">+IF(A410=WORLDCUP!$BI$112,1,0)</f>
        <v>0</v>
      </c>
      <c r="C410" s="9" t="str">
        <f ca="1">+WORLDCUP!BD62</f>
        <v>Ivory Coast</v>
      </c>
      <c r="D410" s="9" t="str">
        <f ca="1">+WORLDCUP!BD67</f>
        <v>Algeria</v>
      </c>
      <c r="E410" s="9" t="str">
        <f ca="1">+WORLDCUP!BD59</f>
        <v>Switzerland</v>
      </c>
      <c r="F410" s="9" t="str">
        <f ca="1">+WORLDCUP!BD60</f>
        <v>Scotland</v>
      </c>
      <c r="G410" s="9" t="str">
        <f ca="1">+WORLDCUP!BD58</f>
        <v>South Korea</v>
      </c>
      <c r="H410" s="9" t="str">
        <f ca="1">+WORLDCUP!BD63</f>
        <v>Tunisia</v>
      </c>
      <c r="I410" s="9" t="str">
        <f ca="1">+WORLDCUP!BD66</f>
        <v>Norway</v>
      </c>
      <c r="J410" s="9" t="str">
        <f ca="1">+WORLDCUP!BD68</f>
        <v>DR Congo</v>
      </c>
      <c r="N410" s="16" t="s">
        <v>1201</v>
      </c>
      <c r="O410" s="16">
        <v>409</v>
      </c>
      <c r="P410" s="16" t="s">
        <v>104</v>
      </c>
      <c r="Q410" s="16" t="s">
        <v>127</v>
      </c>
      <c r="R410" s="16" t="s">
        <v>91</v>
      </c>
      <c r="S410" s="16" t="s">
        <v>95</v>
      </c>
      <c r="T410" s="16" t="s">
        <v>86</v>
      </c>
      <c r="U410" s="16" t="s">
        <v>109</v>
      </c>
      <c r="V410" s="16" t="s">
        <v>122</v>
      </c>
      <c r="W410" s="16" t="s">
        <v>131</v>
      </c>
    </row>
    <row r="411" spans="1:23">
      <c r="A411" s="9" t="s">
        <v>1202</v>
      </c>
      <c r="B411" s="9">
        <f ca="1">+IF(A411=WORLDCUP!$BI$112,1,0)</f>
        <v>0</v>
      </c>
      <c r="C411" s="9" t="str">
        <f ca="1">+WORLDCUP!BD65</f>
        <v>Saudi Arabia</v>
      </c>
      <c r="D411" s="9" t="str">
        <f ca="1">+WORLDCUP!BD62</f>
        <v>Ivory Coast</v>
      </c>
      <c r="E411" s="9" t="str">
        <f ca="1">+WORLDCUP!BD59</f>
        <v>Switzerland</v>
      </c>
      <c r="F411" s="9" t="str">
        <f ca="1">+WORLDCUP!BD60</f>
        <v>Scotland</v>
      </c>
      <c r="G411" s="9" t="str">
        <f ca="1">+WORLDCUP!BD58</f>
        <v>South Korea</v>
      </c>
      <c r="H411" s="9" t="str">
        <f ca="1">+WORLDCUP!BD63</f>
        <v>Tunisia</v>
      </c>
      <c r="I411" s="9" t="str">
        <f ca="1">+WORLDCUP!BD69</f>
        <v>Croatia</v>
      </c>
      <c r="J411" s="9" t="str">
        <f ca="1">+WORLDCUP!BD68</f>
        <v>DR Congo</v>
      </c>
      <c r="N411" s="16" t="s">
        <v>1202</v>
      </c>
      <c r="O411" s="16">
        <v>410</v>
      </c>
      <c r="P411" s="16" t="s">
        <v>118</v>
      </c>
      <c r="Q411" s="16" t="s">
        <v>104</v>
      </c>
      <c r="R411" s="16" t="s">
        <v>91</v>
      </c>
      <c r="S411" s="16" t="s">
        <v>95</v>
      </c>
      <c r="T411" s="16" t="s">
        <v>86</v>
      </c>
      <c r="U411" s="16" t="s">
        <v>109</v>
      </c>
      <c r="V411" s="16" t="s">
        <v>136</v>
      </c>
      <c r="W411" s="16" t="s">
        <v>131</v>
      </c>
    </row>
    <row r="412" spans="1:23">
      <c r="A412" s="9" t="s">
        <v>1203</v>
      </c>
      <c r="B412" s="9">
        <f ca="1">+IF(A412=WORLDCUP!$BI$112,1,0)</f>
        <v>0</v>
      </c>
      <c r="C412" s="9" t="str">
        <f ca="1">+WORLDCUP!BD65</f>
        <v>Saudi Arabia</v>
      </c>
      <c r="D412" s="9" t="str">
        <f ca="1">+WORLDCUP!BD67</f>
        <v>Algeria</v>
      </c>
      <c r="E412" s="9" t="str">
        <f ca="1">+WORLDCUP!BD59</f>
        <v>Switzerland</v>
      </c>
      <c r="F412" s="9" t="str">
        <f ca="1">+WORLDCUP!BD60</f>
        <v>Scotland</v>
      </c>
      <c r="G412" s="9" t="str">
        <f ca="1">+WORLDCUP!BD58</f>
        <v>South Korea</v>
      </c>
      <c r="H412" s="9" t="str">
        <f ca="1">+WORLDCUP!BD63</f>
        <v>Tunisia</v>
      </c>
      <c r="I412" s="9" t="str">
        <f ca="1">+WORLDCUP!BD69</f>
        <v>Croatia</v>
      </c>
      <c r="J412" s="9" t="str">
        <f ca="1">+WORLDCUP!BD62</f>
        <v>Ivory Coast</v>
      </c>
      <c r="N412" s="16" t="s">
        <v>1203</v>
      </c>
      <c r="O412" s="16">
        <v>411</v>
      </c>
      <c r="P412" s="16" t="s">
        <v>118</v>
      </c>
      <c r="Q412" s="16" t="s">
        <v>127</v>
      </c>
      <c r="R412" s="16" t="s">
        <v>91</v>
      </c>
      <c r="S412" s="16" t="s">
        <v>95</v>
      </c>
      <c r="T412" s="16" t="s">
        <v>86</v>
      </c>
      <c r="U412" s="16" t="s">
        <v>109</v>
      </c>
      <c r="V412" s="16" t="s">
        <v>136</v>
      </c>
      <c r="W412" s="16" t="s">
        <v>104</v>
      </c>
    </row>
    <row r="413" spans="1:23">
      <c r="A413" s="9" t="s">
        <v>1204</v>
      </c>
      <c r="B413" s="9">
        <f ca="1">+IF(A413=WORLDCUP!$BI$112,1,0)</f>
        <v>0</v>
      </c>
      <c r="C413" s="9" t="str">
        <f ca="1">+WORLDCUP!BD65</f>
        <v>Saudi Arabia</v>
      </c>
      <c r="D413" s="9" t="str">
        <f ca="1">+WORLDCUP!BD67</f>
        <v>Algeria</v>
      </c>
      <c r="E413" s="9" t="str">
        <f ca="1">+WORLDCUP!BD59</f>
        <v>Switzerland</v>
      </c>
      <c r="F413" s="9" t="str">
        <f ca="1">+WORLDCUP!BD60</f>
        <v>Scotland</v>
      </c>
      <c r="G413" s="9" t="str">
        <f ca="1">+WORLDCUP!BD58</f>
        <v>South Korea</v>
      </c>
      <c r="H413" s="9" t="str">
        <f ca="1">+WORLDCUP!BD63</f>
        <v>Tunisia</v>
      </c>
      <c r="I413" s="9" t="str">
        <f ca="1">+WORLDCUP!BD62</f>
        <v>Ivory Coast</v>
      </c>
      <c r="J413" s="9" t="str">
        <f ca="1">+WORLDCUP!BD68</f>
        <v>DR Congo</v>
      </c>
      <c r="N413" s="16" t="s">
        <v>1204</v>
      </c>
      <c r="O413" s="16">
        <v>412</v>
      </c>
      <c r="P413" s="16" t="s">
        <v>118</v>
      </c>
      <c r="Q413" s="16" t="s">
        <v>127</v>
      </c>
      <c r="R413" s="16" t="s">
        <v>91</v>
      </c>
      <c r="S413" s="16" t="s">
        <v>95</v>
      </c>
      <c r="T413" s="16" t="s">
        <v>86</v>
      </c>
      <c r="U413" s="16" t="s">
        <v>109</v>
      </c>
      <c r="V413" s="16" t="s">
        <v>104</v>
      </c>
      <c r="W413" s="16" t="s">
        <v>131</v>
      </c>
    </row>
    <row r="414" spans="1:23">
      <c r="A414" s="9" t="s">
        <v>1205</v>
      </c>
      <c r="B414" s="9">
        <f ca="1">+IF(A414=WORLDCUP!$BI$112,1,0)</f>
        <v>0</v>
      </c>
      <c r="C414" s="9" t="str">
        <f ca="1">+WORLDCUP!BD65</f>
        <v>Saudi Arabia</v>
      </c>
      <c r="D414" s="9" t="str">
        <f ca="1">+WORLDCUP!BD62</f>
        <v>Ivory Coast</v>
      </c>
      <c r="E414" s="9" t="str">
        <f ca="1">+WORLDCUP!BD59</f>
        <v>Switzerland</v>
      </c>
      <c r="F414" s="9" t="str">
        <f ca="1">+WORLDCUP!BD60</f>
        <v>Scotland</v>
      </c>
      <c r="G414" s="9" t="str">
        <f ca="1">+WORLDCUP!BD58</f>
        <v>South Korea</v>
      </c>
      <c r="H414" s="9" t="str">
        <f ca="1">+WORLDCUP!BD63</f>
        <v>Tunisia</v>
      </c>
      <c r="I414" s="9" t="str">
        <f ca="1">+WORLDCUP!BD69</f>
        <v>Croatia</v>
      </c>
      <c r="J414" s="9" t="str">
        <f ca="1">+WORLDCUP!BD66</f>
        <v>Norway</v>
      </c>
      <c r="N414" s="16" t="s">
        <v>1205</v>
      </c>
      <c r="O414" s="16">
        <v>413</v>
      </c>
      <c r="P414" s="16" t="s">
        <v>118</v>
      </c>
      <c r="Q414" s="16" t="s">
        <v>104</v>
      </c>
      <c r="R414" s="16" t="s">
        <v>91</v>
      </c>
      <c r="S414" s="16" t="s">
        <v>95</v>
      </c>
      <c r="T414" s="16" t="s">
        <v>86</v>
      </c>
      <c r="U414" s="16" t="s">
        <v>109</v>
      </c>
      <c r="V414" s="16" t="s">
        <v>136</v>
      </c>
      <c r="W414" s="16" t="s">
        <v>122</v>
      </c>
    </row>
    <row r="415" spans="1:23">
      <c r="A415" s="9" t="s">
        <v>1206</v>
      </c>
      <c r="B415" s="9">
        <f ca="1">+IF(A415=WORLDCUP!$BI$112,1,0)</f>
        <v>0</v>
      </c>
      <c r="C415" s="9" t="str">
        <f ca="1">+WORLDCUP!BD65</f>
        <v>Saudi Arabia</v>
      </c>
      <c r="D415" s="9" t="str">
        <f ca="1">+WORLDCUP!BD62</f>
        <v>Ivory Coast</v>
      </c>
      <c r="E415" s="9" t="str">
        <f ca="1">+WORLDCUP!BD59</f>
        <v>Switzerland</v>
      </c>
      <c r="F415" s="9" t="str">
        <f ca="1">+WORLDCUP!BD60</f>
        <v>Scotland</v>
      </c>
      <c r="G415" s="9" t="str">
        <f ca="1">+WORLDCUP!BD58</f>
        <v>South Korea</v>
      </c>
      <c r="H415" s="9" t="str">
        <f ca="1">+WORLDCUP!BD63</f>
        <v>Tunisia</v>
      </c>
      <c r="I415" s="9" t="str">
        <f ca="1">+WORLDCUP!BD66</f>
        <v>Norway</v>
      </c>
      <c r="J415" s="9" t="str">
        <f ca="1">+WORLDCUP!BD68</f>
        <v>DR Congo</v>
      </c>
      <c r="N415" s="16" t="s">
        <v>1206</v>
      </c>
      <c r="O415" s="16">
        <v>414</v>
      </c>
      <c r="P415" s="16" t="s">
        <v>118</v>
      </c>
      <c r="Q415" s="16" t="s">
        <v>104</v>
      </c>
      <c r="R415" s="16" t="s">
        <v>91</v>
      </c>
      <c r="S415" s="16" t="s">
        <v>95</v>
      </c>
      <c r="T415" s="16" t="s">
        <v>86</v>
      </c>
      <c r="U415" s="16" t="s">
        <v>109</v>
      </c>
      <c r="V415" s="16" t="s">
        <v>122</v>
      </c>
      <c r="W415" s="16" t="s">
        <v>131</v>
      </c>
    </row>
    <row r="416" spans="1:23">
      <c r="A416" s="9" t="s">
        <v>1207</v>
      </c>
      <c r="B416" s="9">
        <f ca="1">+IF(A416=WORLDCUP!$BI$112,1,0)</f>
        <v>0</v>
      </c>
      <c r="C416" s="9" t="str">
        <f ca="1">+WORLDCUP!BD65</f>
        <v>Saudi Arabia</v>
      </c>
      <c r="D416" s="9" t="str">
        <f ca="1">+WORLDCUP!BD67</f>
        <v>Algeria</v>
      </c>
      <c r="E416" s="9" t="str">
        <f ca="1">+WORLDCUP!BD59</f>
        <v>Switzerland</v>
      </c>
      <c r="F416" s="9" t="str">
        <f ca="1">+WORLDCUP!BD60</f>
        <v>Scotland</v>
      </c>
      <c r="G416" s="9" t="str">
        <f ca="1">+WORLDCUP!BD58</f>
        <v>South Korea</v>
      </c>
      <c r="H416" s="9" t="str">
        <f ca="1">+WORLDCUP!BD63</f>
        <v>Tunisia</v>
      </c>
      <c r="I416" s="9" t="str">
        <f ca="1">+WORLDCUP!BD62</f>
        <v>Ivory Coast</v>
      </c>
      <c r="J416" s="9" t="str">
        <f ca="1">+WORLDCUP!BD66</f>
        <v>Norway</v>
      </c>
      <c r="N416" s="16" t="s">
        <v>1207</v>
      </c>
      <c r="O416" s="16">
        <v>415</v>
      </c>
      <c r="P416" s="16" t="s">
        <v>118</v>
      </c>
      <c r="Q416" s="16" t="s">
        <v>127</v>
      </c>
      <c r="R416" s="16" t="s">
        <v>91</v>
      </c>
      <c r="S416" s="16" t="s">
        <v>95</v>
      </c>
      <c r="T416" s="16" t="s">
        <v>86</v>
      </c>
      <c r="U416" s="16" t="s">
        <v>109</v>
      </c>
      <c r="V416" s="16" t="s">
        <v>104</v>
      </c>
      <c r="W416" s="16" t="s">
        <v>122</v>
      </c>
    </row>
    <row r="417" spans="1:23">
      <c r="A417" s="9" t="s">
        <v>1208</v>
      </c>
      <c r="B417" s="9">
        <f ca="1">+IF(A417=WORLDCUP!$BI$112,1,0)</f>
        <v>0</v>
      </c>
      <c r="C417" s="9" t="str">
        <f ca="1">+WORLDCUP!BD62</f>
        <v>Ivory Coast</v>
      </c>
      <c r="D417" s="9" t="str">
        <f ca="1">+WORLDCUP!BD64</f>
        <v>Egypt</v>
      </c>
      <c r="E417" s="9" t="str">
        <f ca="1">+WORLDCUP!BD59</f>
        <v>Switzerland</v>
      </c>
      <c r="F417" s="9" t="str">
        <f ca="1">+WORLDCUP!BD60</f>
        <v>Scotland</v>
      </c>
      <c r="G417" s="9" t="str">
        <f ca="1">+WORLDCUP!BD58</f>
        <v>South Korea</v>
      </c>
      <c r="H417" s="9" t="str">
        <f ca="1">+WORLDCUP!BD63</f>
        <v>Tunisia</v>
      </c>
      <c r="I417" s="9" t="str">
        <f ca="1">+WORLDCUP!BD69</f>
        <v>Croatia</v>
      </c>
      <c r="J417" s="9" t="str">
        <f ca="1">+WORLDCUP!BD68</f>
        <v>DR Congo</v>
      </c>
      <c r="N417" s="16" t="s">
        <v>1208</v>
      </c>
      <c r="O417" s="16">
        <v>416</v>
      </c>
      <c r="P417" s="16" t="s">
        <v>104</v>
      </c>
      <c r="Q417" s="16" t="s">
        <v>113</v>
      </c>
      <c r="R417" s="16" t="s">
        <v>91</v>
      </c>
      <c r="S417" s="16" t="s">
        <v>95</v>
      </c>
      <c r="T417" s="16" t="s">
        <v>86</v>
      </c>
      <c r="U417" s="16" t="s">
        <v>109</v>
      </c>
      <c r="V417" s="16" t="s">
        <v>136</v>
      </c>
      <c r="W417" s="16" t="s">
        <v>131</v>
      </c>
    </row>
    <row r="418" spans="1:23">
      <c r="A418" s="9" t="s">
        <v>1209</v>
      </c>
      <c r="B418" s="9">
        <f ca="1">+IF(A418=WORLDCUP!$BI$112,1,0)</f>
        <v>0</v>
      </c>
      <c r="C418" s="9" t="str">
        <f ca="1">+WORLDCUP!BD62</f>
        <v>Ivory Coast</v>
      </c>
      <c r="D418" s="9" t="str">
        <f ca="1">+WORLDCUP!BD64</f>
        <v>Egypt</v>
      </c>
      <c r="E418" s="9" t="str">
        <f ca="1">+WORLDCUP!BD59</f>
        <v>Switzerland</v>
      </c>
      <c r="F418" s="9" t="str">
        <f ca="1">+WORLDCUP!BD60</f>
        <v>Scotland</v>
      </c>
      <c r="G418" s="9" t="str">
        <f ca="1">+WORLDCUP!BD58</f>
        <v>South Korea</v>
      </c>
      <c r="H418" s="9" t="str">
        <f ca="1">+WORLDCUP!BD63</f>
        <v>Tunisia</v>
      </c>
      <c r="I418" s="9" t="str">
        <f ca="1">+WORLDCUP!BD69</f>
        <v>Croatia</v>
      </c>
      <c r="J418" s="9" t="str">
        <f ca="1">+WORLDCUP!BD67</f>
        <v>Algeria</v>
      </c>
      <c r="N418" s="16" t="s">
        <v>1209</v>
      </c>
      <c r="O418" s="16">
        <v>417</v>
      </c>
      <c r="P418" s="16" t="s">
        <v>104</v>
      </c>
      <c r="Q418" s="16" t="s">
        <v>113</v>
      </c>
      <c r="R418" s="16" t="s">
        <v>91</v>
      </c>
      <c r="S418" s="16" t="s">
        <v>95</v>
      </c>
      <c r="T418" s="16" t="s">
        <v>86</v>
      </c>
      <c r="U418" s="16" t="s">
        <v>109</v>
      </c>
      <c r="V418" s="16" t="s">
        <v>136</v>
      </c>
      <c r="W418" s="16" t="s">
        <v>127</v>
      </c>
    </row>
    <row r="419" spans="1:23">
      <c r="A419" s="9" t="s">
        <v>1210</v>
      </c>
      <c r="B419" s="9">
        <f ca="1">+IF(A419=WORLDCUP!$BI$112,1,0)</f>
        <v>0</v>
      </c>
      <c r="C419" s="9" t="str">
        <f ca="1">+WORLDCUP!BD62</f>
        <v>Ivory Coast</v>
      </c>
      <c r="D419" s="9" t="str">
        <f ca="1">+WORLDCUP!BD64</f>
        <v>Egypt</v>
      </c>
      <c r="E419" s="9" t="str">
        <f ca="1">+WORLDCUP!BD59</f>
        <v>Switzerland</v>
      </c>
      <c r="F419" s="9" t="str">
        <f ca="1">+WORLDCUP!BD60</f>
        <v>Scotland</v>
      </c>
      <c r="G419" s="9" t="str">
        <f ca="1">+WORLDCUP!BD58</f>
        <v>South Korea</v>
      </c>
      <c r="H419" s="9" t="str">
        <f ca="1">+WORLDCUP!BD63</f>
        <v>Tunisia</v>
      </c>
      <c r="I419" s="9" t="str">
        <f ca="1">+WORLDCUP!BD67</f>
        <v>Algeria</v>
      </c>
      <c r="J419" s="9" t="str">
        <f ca="1">+WORLDCUP!BD68</f>
        <v>DR Congo</v>
      </c>
      <c r="N419" s="16" t="s">
        <v>1210</v>
      </c>
      <c r="O419" s="16">
        <v>418</v>
      </c>
      <c r="P419" s="16" t="s">
        <v>104</v>
      </c>
      <c r="Q419" s="16" t="s">
        <v>113</v>
      </c>
      <c r="R419" s="16" t="s">
        <v>91</v>
      </c>
      <c r="S419" s="16" t="s">
        <v>95</v>
      </c>
      <c r="T419" s="16" t="s">
        <v>86</v>
      </c>
      <c r="U419" s="16" t="s">
        <v>109</v>
      </c>
      <c r="V419" s="16" t="s">
        <v>127</v>
      </c>
      <c r="W419" s="16" t="s">
        <v>131</v>
      </c>
    </row>
    <row r="420" spans="1:23">
      <c r="A420" s="9" t="s">
        <v>1211</v>
      </c>
      <c r="B420" s="9">
        <f ca="1">+IF(A420=WORLDCUP!$BI$112,1,0)</f>
        <v>0</v>
      </c>
      <c r="C420" s="9" t="str">
        <f ca="1">+WORLDCUP!BD62</f>
        <v>Ivory Coast</v>
      </c>
      <c r="D420" s="9" t="str">
        <f ca="1">+WORLDCUP!BD64</f>
        <v>Egypt</v>
      </c>
      <c r="E420" s="9" t="str">
        <f ca="1">+WORLDCUP!BD59</f>
        <v>Switzerland</v>
      </c>
      <c r="F420" s="9" t="str">
        <f ca="1">+WORLDCUP!BD60</f>
        <v>Scotland</v>
      </c>
      <c r="G420" s="9" t="str">
        <f ca="1">+WORLDCUP!BD58</f>
        <v>South Korea</v>
      </c>
      <c r="H420" s="9" t="str">
        <f ca="1">+WORLDCUP!BD63</f>
        <v>Tunisia</v>
      </c>
      <c r="I420" s="9" t="str">
        <f ca="1">+WORLDCUP!BD69</f>
        <v>Croatia</v>
      </c>
      <c r="J420" s="9" t="str">
        <f ca="1">+WORLDCUP!BD66</f>
        <v>Norway</v>
      </c>
      <c r="N420" s="16" t="s">
        <v>1211</v>
      </c>
      <c r="O420" s="16">
        <v>419</v>
      </c>
      <c r="P420" s="16" t="s">
        <v>104</v>
      </c>
      <c r="Q420" s="16" t="s">
        <v>113</v>
      </c>
      <c r="R420" s="16" t="s">
        <v>91</v>
      </c>
      <c r="S420" s="16" t="s">
        <v>95</v>
      </c>
      <c r="T420" s="16" t="s">
        <v>86</v>
      </c>
      <c r="U420" s="16" t="s">
        <v>109</v>
      </c>
      <c r="V420" s="16" t="s">
        <v>136</v>
      </c>
      <c r="W420" s="16" t="s">
        <v>122</v>
      </c>
    </row>
    <row r="421" spans="1:23">
      <c r="A421" s="9" t="s">
        <v>1212</v>
      </c>
      <c r="B421" s="9">
        <f ca="1">+IF(A421=WORLDCUP!$BI$112,1,0)</f>
        <v>0</v>
      </c>
      <c r="C421" s="9" t="str">
        <f ca="1">+WORLDCUP!BD62</f>
        <v>Ivory Coast</v>
      </c>
      <c r="D421" s="9" t="str">
        <f ca="1">+WORLDCUP!BD64</f>
        <v>Egypt</v>
      </c>
      <c r="E421" s="9" t="str">
        <f ca="1">+WORLDCUP!BD59</f>
        <v>Switzerland</v>
      </c>
      <c r="F421" s="9" t="str">
        <f ca="1">+WORLDCUP!BD60</f>
        <v>Scotland</v>
      </c>
      <c r="G421" s="9" t="str">
        <f ca="1">+WORLDCUP!BD58</f>
        <v>South Korea</v>
      </c>
      <c r="H421" s="9" t="str">
        <f ca="1">+WORLDCUP!BD63</f>
        <v>Tunisia</v>
      </c>
      <c r="I421" s="9" t="str">
        <f ca="1">+WORLDCUP!BD66</f>
        <v>Norway</v>
      </c>
      <c r="J421" s="9" t="str">
        <f ca="1">+WORLDCUP!BD68</f>
        <v>DR Congo</v>
      </c>
      <c r="N421" s="16" t="s">
        <v>1212</v>
      </c>
      <c r="O421" s="16">
        <v>420</v>
      </c>
      <c r="P421" s="16" t="s">
        <v>104</v>
      </c>
      <c r="Q421" s="16" t="s">
        <v>113</v>
      </c>
      <c r="R421" s="16" t="s">
        <v>91</v>
      </c>
      <c r="S421" s="16" t="s">
        <v>95</v>
      </c>
      <c r="T421" s="16" t="s">
        <v>86</v>
      </c>
      <c r="U421" s="16" t="s">
        <v>109</v>
      </c>
      <c r="V421" s="16" t="s">
        <v>122</v>
      </c>
      <c r="W421" s="16" t="s">
        <v>131</v>
      </c>
    </row>
    <row r="422" spans="1:23">
      <c r="A422" s="9" t="s">
        <v>1213</v>
      </c>
      <c r="B422" s="9">
        <f ca="1">+IF(A422=WORLDCUP!$BI$112,1,0)</f>
        <v>0</v>
      </c>
      <c r="C422" s="9" t="str">
        <f ca="1">+WORLDCUP!BD62</f>
        <v>Ivory Coast</v>
      </c>
      <c r="D422" s="9" t="str">
        <f ca="1">+WORLDCUP!BD64</f>
        <v>Egypt</v>
      </c>
      <c r="E422" s="9" t="str">
        <f ca="1">+WORLDCUP!BD59</f>
        <v>Switzerland</v>
      </c>
      <c r="F422" s="9" t="str">
        <f ca="1">+WORLDCUP!BD60</f>
        <v>Scotland</v>
      </c>
      <c r="G422" s="9" t="str">
        <f ca="1">+WORLDCUP!BD58</f>
        <v>South Korea</v>
      </c>
      <c r="H422" s="9" t="str">
        <f ca="1">+WORLDCUP!BD63</f>
        <v>Tunisia</v>
      </c>
      <c r="I422" s="9" t="str">
        <f ca="1">+WORLDCUP!BD66</f>
        <v>Norway</v>
      </c>
      <c r="J422" s="9" t="str">
        <f ca="1">+WORLDCUP!BD67</f>
        <v>Algeria</v>
      </c>
      <c r="N422" s="16" t="s">
        <v>1213</v>
      </c>
      <c r="O422" s="16">
        <v>421</v>
      </c>
      <c r="P422" s="16" t="s">
        <v>104</v>
      </c>
      <c r="Q422" s="16" t="s">
        <v>113</v>
      </c>
      <c r="R422" s="16" t="s">
        <v>91</v>
      </c>
      <c r="S422" s="16" t="s">
        <v>95</v>
      </c>
      <c r="T422" s="16" t="s">
        <v>86</v>
      </c>
      <c r="U422" s="16" t="s">
        <v>109</v>
      </c>
      <c r="V422" s="16" t="s">
        <v>122</v>
      </c>
      <c r="W422" s="16" t="s">
        <v>127</v>
      </c>
    </row>
    <row r="423" spans="1:23">
      <c r="A423" s="9" t="s">
        <v>1214</v>
      </c>
      <c r="B423" s="9">
        <f ca="1">+IF(A423=WORLDCUP!$BI$112,1,0)</f>
        <v>0</v>
      </c>
      <c r="C423" s="9" t="str">
        <f ca="1">+WORLDCUP!BD65</f>
        <v>Saudi Arabia</v>
      </c>
      <c r="D423" s="9" t="str">
        <f ca="1">+WORLDCUP!BD64</f>
        <v>Egypt</v>
      </c>
      <c r="E423" s="9" t="str">
        <f ca="1">+WORLDCUP!BD59</f>
        <v>Switzerland</v>
      </c>
      <c r="F423" s="9" t="str">
        <f ca="1">+WORLDCUP!BD60</f>
        <v>Scotland</v>
      </c>
      <c r="G423" s="9" t="str">
        <f ca="1">+WORLDCUP!BD58</f>
        <v>South Korea</v>
      </c>
      <c r="H423" s="9" t="str">
        <f ca="1">+WORLDCUP!BD63</f>
        <v>Tunisia</v>
      </c>
      <c r="I423" s="9" t="str">
        <f ca="1">+WORLDCUP!BD69</f>
        <v>Croatia</v>
      </c>
      <c r="J423" s="9" t="str">
        <f ca="1">+WORLDCUP!BD62</f>
        <v>Ivory Coast</v>
      </c>
      <c r="N423" s="16" t="s">
        <v>1214</v>
      </c>
      <c r="O423" s="16">
        <v>422</v>
      </c>
      <c r="P423" s="16" t="s">
        <v>118</v>
      </c>
      <c r="Q423" s="16" t="s">
        <v>113</v>
      </c>
      <c r="R423" s="16" t="s">
        <v>91</v>
      </c>
      <c r="S423" s="16" t="s">
        <v>95</v>
      </c>
      <c r="T423" s="16" t="s">
        <v>86</v>
      </c>
      <c r="U423" s="16" t="s">
        <v>109</v>
      </c>
      <c r="V423" s="16" t="s">
        <v>136</v>
      </c>
      <c r="W423" s="16" t="s">
        <v>104</v>
      </c>
    </row>
    <row r="424" spans="1:23">
      <c r="A424" s="9" t="s">
        <v>1215</v>
      </c>
      <c r="B424" s="9">
        <f ca="1">+IF(A424=WORLDCUP!$BI$112,1,0)</f>
        <v>0</v>
      </c>
      <c r="C424" s="9" t="str">
        <f ca="1">+WORLDCUP!BD65</f>
        <v>Saudi Arabia</v>
      </c>
      <c r="D424" s="9" t="str">
        <f ca="1">+WORLDCUP!BD64</f>
        <v>Egypt</v>
      </c>
      <c r="E424" s="9" t="str">
        <f ca="1">+WORLDCUP!BD59</f>
        <v>Switzerland</v>
      </c>
      <c r="F424" s="9" t="str">
        <f ca="1">+WORLDCUP!BD60</f>
        <v>Scotland</v>
      </c>
      <c r="G424" s="9" t="str">
        <f ca="1">+WORLDCUP!BD58</f>
        <v>South Korea</v>
      </c>
      <c r="H424" s="9" t="str">
        <f ca="1">+WORLDCUP!BD63</f>
        <v>Tunisia</v>
      </c>
      <c r="I424" s="9" t="str">
        <f ca="1">+WORLDCUP!BD62</f>
        <v>Ivory Coast</v>
      </c>
      <c r="J424" s="9" t="str">
        <f ca="1">+WORLDCUP!BD68</f>
        <v>DR Congo</v>
      </c>
      <c r="N424" s="16" t="s">
        <v>1215</v>
      </c>
      <c r="O424" s="16">
        <v>423</v>
      </c>
      <c r="P424" s="16" t="s">
        <v>118</v>
      </c>
      <c r="Q424" s="16" t="s">
        <v>113</v>
      </c>
      <c r="R424" s="16" t="s">
        <v>91</v>
      </c>
      <c r="S424" s="16" t="s">
        <v>95</v>
      </c>
      <c r="T424" s="16" t="s">
        <v>86</v>
      </c>
      <c r="U424" s="16" t="s">
        <v>109</v>
      </c>
      <c r="V424" s="16" t="s">
        <v>104</v>
      </c>
      <c r="W424" s="16" t="s">
        <v>131</v>
      </c>
    </row>
    <row r="425" spans="1:23">
      <c r="A425" s="9" t="s">
        <v>1216</v>
      </c>
      <c r="B425" s="9">
        <f ca="1">+IF(A425=WORLDCUP!$BI$112,1,0)</f>
        <v>0</v>
      </c>
      <c r="C425" s="9" t="str">
        <f ca="1">+WORLDCUP!BD65</f>
        <v>Saudi Arabia</v>
      </c>
      <c r="D425" s="9" t="str">
        <f ca="1">+WORLDCUP!BD64</f>
        <v>Egypt</v>
      </c>
      <c r="E425" s="9" t="str">
        <f ca="1">+WORLDCUP!BD59</f>
        <v>Switzerland</v>
      </c>
      <c r="F425" s="9" t="str">
        <f ca="1">+WORLDCUP!BD60</f>
        <v>Scotland</v>
      </c>
      <c r="G425" s="9" t="str">
        <f ca="1">+WORLDCUP!BD58</f>
        <v>South Korea</v>
      </c>
      <c r="H425" s="9" t="str">
        <f ca="1">+WORLDCUP!BD63</f>
        <v>Tunisia</v>
      </c>
      <c r="I425" s="9" t="str">
        <f ca="1">+WORLDCUP!BD62</f>
        <v>Ivory Coast</v>
      </c>
      <c r="J425" s="9" t="str">
        <f ca="1">+WORLDCUP!BD67</f>
        <v>Algeria</v>
      </c>
      <c r="N425" s="16" t="s">
        <v>1216</v>
      </c>
      <c r="O425" s="16">
        <v>424</v>
      </c>
      <c r="P425" s="16" t="s">
        <v>118</v>
      </c>
      <c r="Q425" s="16" t="s">
        <v>113</v>
      </c>
      <c r="R425" s="16" t="s">
        <v>91</v>
      </c>
      <c r="S425" s="16" t="s">
        <v>95</v>
      </c>
      <c r="T425" s="16" t="s">
        <v>86</v>
      </c>
      <c r="U425" s="16" t="s">
        <v>109</v>
      </c>
      <c r="V425" s="16" t="s">
        <v>104</v>
      </c>
      <c r="W425" s="16" t="s">
        <v>127</v>
      </c>
    </row>
    <row r="426" spans="1:23">
      <c r="A426" s="9" t="s">
        <v>1217</v>
      </c>
      <c r="B426" s="9">
        <f ca="1">+IF(A426=WORLDCUP!$BI$112,1,0)</f>
        <v>0</v>
      </c>
      <c r="C426" s="9" t="str">
        <f ca="1">+WORLDCUP!BD65</f>
        <v>Saudi Arabia</v>
      </c>
      <c r="D426" s="9" t="str">
        <f ca="1">+WORLDCUP!BD64</f>
        <v>Egypt</v>
      </c>
      <c r="E426" s="9" t="str">
        <f ca="1">+WORLDCUP!BD59</f>
        <v>Switzerland</v>
      </c>
      <c r="F426" s="9" t="str">
        <f ca="1">+WORLDCUP!BD60</f>
        <v>Scotland</v>
      </c>
      <c r="G426" s="9" t="str">
        <f ca="1">+WORLDCUP!BD58</f>
        <v>South Korea</v>
      </c>
      <c r="H426" s="9" t="str">
        <f ca="1">+WORLDCUP!BD63</f>
        <v>Tunisia</v>
      </c>
      <c r="I426" s="9" t="str">
        <f ca="1">+WORLDCUP!BD62</f>
        <v>Ivory Coast</v>
      </c>
      <c r="J426" s="9" t="str">
        <f ca="1">+WORLDCUP!BD66</f>
        <v>Norway</v>
      </c>
      <c r="N426" s="16" t="s">
        <v>1217</v>
      </c>
      <c r="O426" s="16">
        <v>425</v>
      </c>
      <c r="P426" s="16" t="s">
        <v>118</v>
      </c>
      <c r="Q426" s="16" t="s">
        <v>113</v>
      </c>
      <c r="R426" s="16" t="s">
        <v>91</v>
      </c>
      <c r="S426" s="16" t="s">
        <v>95</v>
      </c>
      <c r="T426" s="16" t="s">
        <v>86</v>
      </c>
      <c r="U426" s="16" t="s">
        <v>109</v>
      </c>
      <c r="V426" s="16" t="s">
        <v>104</v>
      </c>
      <c r="W426" s="16" t="s">
        <v>122</v>
      </c>
    </row>
    <row r="427" spans="1:23">
      <c r="A427" s="9" t="s">
        <v>1218</v>
      </c>
      <c r="B427" s="9">
        <f ca="1">+IF(A427=WORLDCUP!$BI$112,1,0)</f>
        <v>0</v>
      </c>
      <c r="C427" s="9" t="str">
        <f ca="1">+WORLDCUP!BD66</f>
        <v>Norway</v>
      </c>
      <c r="D427" s="9" t="str">
        <f ca="1">+WORLDCUP!BD67</f>
        <v>Algeria</v>
      </c>
      <c r="E427" s="9" t="str">
        <f ca="1">+WORLDCUP!BD59</f>
        <v>Switzerland</v>
      </c>
      <c r="F427" s="9" t="str">
        <f ca="1">+WORLDCUP!BD60</f>
        <v>Scotland</v>
      </c>
      <c r="G427" s="9" t="str">
        <f ca="1">+WORLDCUP!BD58</f>
        <v>South Korea</v>
      </c>
      <c r="H427" s="9" t="str">
        <f ca="1">+WORLDCUP!BD61</f>
        <v>Australia</v>
      </c>
      <c r="I427" s="9" t="str">
        <f ca="1">+WORLDCUP!BD69</f>
        <v>Croatia</v>
      </c>
      <c r="J427" s="9" t="str">
        <f ca="1">+WORLDCUP!BD68</f>
        <v>DR Congo</v>
      </c>
      <c r="N427" s="16" t="s">
        <v>1218</v>
      </c>
      <c r="O427" s="16">
        <v>426</v>
      </c>
      <c r="P427" s="16" t="s">
        <v>122</v>
      </c>
      <c r="Q427" s="16" t="s">
        <v>127</v>
      </c>
      <c r="R427" s="16" t="s">
        <v>91</v>
      </c>
      <c r="S427" s="16" t="s">
        <v>95</v>
      </c>
      <c r="T427" s="16" t="s">
        <v>86</v>
      </c>
      <c r="U427" s="16" t="s">
        <v>100</v>
      </c>
      <c r="V427" s="16" t="s">
        <v>136</v>
      </c>
      <c r="W427" s="16" t="s">
        <v>131</v>
      </c>
    </row>
    <row r="428" spans="1:23">
      <c r="A428" s="9" t="s">
        <v>1219</v>
      </c>
      <c r="B428" s="9">
        <f ca="1">+IF(A428=WORLDCUP!$BI$112,1,0)</f>
        <v>0</v>
      </c>
      <c r="C428" s="9" t="str">
        <f ca="1">+WORLDCUP!BD65</f>
        <v>Saudi Arabia</v>
      </c>
      <c r="D428" s="9" t="str">
        <f ca="1">+WORLDCUP!BD67</f>
        <v>Algeria</v>
      </c>
      <c r="E428" s="9" t="str">
        <f ca="1">+WORLDCUP!BD59</f>
        <v>Switzerland</v>
      </c>
      <c r="F428" s="9" t="str">
        <f ca="1">+WORLDCUP!BD60</f>
        <v>Scotland</v>
      </c>
      <c r="G428" s="9" t="str">
        <f ca="1">+WORLDCUP!BD58</f>
        <v>South Korea</v>
      </c>
      <c r="H428" s="9" t="str">
        <f ca="1">+WORLDCUP!BD61</f>
        <v>Australia</v>
      </c>
      <c r="I428" s="9" t="str">
        <f ca="1">+WORLDCUP!BD69</f>
        <v>Croatia</v>
      </c>
      <c r="J428" s="9" t="str">
        <f ca="1">+WORLDCUP!BD68</f>
        <v>DR Congo</v>
      </c>
      <c r="N428" s="16" t="s">
        <v>1219</v>
      </c>
      <c r="O428" s="16">
        <v>427</v>
      </c>
      <c r="P428" s="16" t="s">
        <v>118</v>
      </c>
      <c r="Q428" s="16" t="s">
        <v>127</v>
      </c>
      <c r="R428" s="16" t="s">
        <v>91</v>
      </c>
      <c r="S428" s="16" t="s">
        <v>95</v>
      </c>
      <c r="T428" s="16" t="s">
        <v>86</v>
      </c>
      <c r="U428" s="16" t="s">
        <v>100</v>
      </c>
      <c r="V428" s="16" t="s">
        <v>136</v>
      </c>
      <c r="W428" s="16" t="s">
        <v>131</v>
      </c>
    </row>
    <row r="429" spans="1:23">
      <c r="A429" s="9" t="s">
        <v>1220</v>
      </c>
      <c r="B429" s="9">
        <f ca="1">+IF(A429=WORLDCUP!$BI$112,1,0)</f>
        <v>0</v>
      </c>
      <c r="C429" s="9" t="str">
        <f ca="1">+WORLDCUP!BD65</f>
        <v>Saudi Arabia</v>
      </c>
      <c r="D429" s="9" t="str">
        <f ca="1">+WORLDCUP!BD66</f>
        <v>Norway</v>
      </c>
      <c r="E429" s="9" t="str">
        <f ca="1">+WORLDCUP!BD59</f>
        <v>Switzerland</v>
      </c>
      <c r="F429" s="9" t="str">
        <f ca="1">+WORLDCUP!BD60</f>
        <v>Scotland</v>
      </c>
      <c r="G429" s="9" t="str">
        <f ca="1">+WORLDCUP!BD58</f>
        <v>South Korea</v>
      </c>
      <c r="H429" s="9" t="str">
        <f ca="1">+WORLDCUP!BD61</f>
        <v>Australia</v>
      </c>
      <c r="I429" s="9" t="str">
        <f ca="1">+WORLDCUP!BD69</f>
        <v>Croatia</v>
      </c>
      <c r="J429" s="9" t="str">
        <f ca="1">+WORLDCUP!BD68</f>
        <v>DR Congo</v>
      </c>
      <c r="N429" s="16" t="s">
        <v>1220</v>
      </c>
      <c r="O429" s="16">
        <v>428</v>
      </c>
      <c r="P429" s="16" t="s">
        <v>118</v>
      </c>
      <c r="Q429" s="16" t="s">
        <v>122</v>
      </c>
      <c r="R429" s="16" t="s">
        <v>91</v>
      </c>
      <c r="S429" s="16" t="s">
        <v>95</v>
      </c>
      <c r="T429" s="16" t="s">
        <v>86</v>
      </c>
      <c r="U429" s="16" t="s">
        <v>100</v>
      </c>
      <c r="V429" s="16" t="s">
        <v>136</v>
      </c>
      <c r="W429" s="16" t="s">
        <v>131</v>
      </c>
    </row>
    <row r="430" spans="1:23">
      <c r="A430" s="9" t="s">
        <v>1221</v>
      </c>
      <c r="B430" s="9">
        <f ca="1">+IF(A430=WORLDCUP!$BI$112,1,0)</f>
        <v>0</v>
      </c>
      <c r="C430" s="9" t="str">
        <f ca="1">+WORLDCUP!BD65</f>
        <v>Saudi Arabia</v>
      </c>
      <c r="D430" s="9" t="str">
        <f ca="1">+WORLDCUP!BD67</f>
        <v>Algeria</v>
      </c>
      <c r="E430" s="9" t="str">
        <f ca="1">+WORLDCUP!BD59</f>
        <v>Switzerland</v>
      </c>
      <c r="F430" s="9" t="str">
        <f ca="1">+WORLDCUP!BD60</f>
        <v>Scotland</v>
      </c>
      <c r="G430" s="9" t="str">
        <f ca="1">+WORLDCUP!BD58</f>
        <v>South Korea</v>
      </c>
      <c r="H430" s="9" t="str">
        <f ca="1">+WORLDCUP!BD61</f>
        <v>Australia</v>
      </c>
      <c r="I430" s="9" t="str">
        <f ca="1">+WORLDCUP!BD69</f>
        <v>Croatia</v>
      </c>
      <c r="J430" s="9" t="str">
        <f ca="1">+WORLDCUP!BD66</f>
        <v>Norway</v>
      </c>
      <c r="N430" s="16" t="s">
        <v>1221</v>
      </c>
      <c r="O430" s="16">
        <v>429</v>
      </c>
      <c r="P430" s="16" t="s">
        <v>118</v>
      </c>
      <c r="Q430" s="16" t="s">
        <v>127</v>
      </c>
      <c r="R430" s="16" t="s">
        <v>91</v>
      </c>
      <c r="S430" s="16" t="s">
        <v>95</v>
      </c>
      <c r="T430" s="16" t="s">
        <v>86</v>
      </c>
      <c r="U430" s="16" t="s">
        <v>100</v>
      </c>
      <c r="V430" s="16" t="s">
        <v>136</v>
      </c>
      <c r="W430" s="16" t="s">
        <v>122</v>
      </c>
    </row>
    <row r="431" spans="1:23">
      <c r="A431" s="9" t="s">
        <v>1222</v>
      </c>
      <c r="B431" s="9">
        <f ca="1">+IF(A431=WORLDCUP!$BI$112,1,0)</f>
        <v>0</v>
      </c>
      <c r="C431" s="9" t="str">
        <f ca="1">+WORLDCUP!BD65</f>
        <v>Saudi Arabia</v>
      </c>
      <c r="D431" s="9" t="str">
        <f ca="1">+WORLDCUP!BD67</f>
        <v>Algeria</v>
      </c>
      <c r="E431" s="9" t="str">
        <f ca="1">+WORLDCUP!BD59</f>
        <v>Switzerland</v>
      </c>
      <c r="F431" s="9" t="str">
        <f ca="1">+WORLDCUP!BD60</f>
        <v>Scotland</v>
      </c>
      <c r="G431" s="9" t="str">
        <f ca="1">+WORLDCUP!BD58</f>
        <v>South Korea</v>
      </c>
      <c r="H431" s="9" t="str">
        <f ca="1">+WORLDCUP!BD61</f>
        <v>Australia</v>
      </c>
      <c r="I431" s="9" t="str">
        <f ca="1">+WORLDCUP!BD66</f>
        <v>Norway</v>
      </c>
      <c r="J431" s="9" t="str">
        <f ca="1">+WORLDCUP!BD68</f>
        <v>DR Congo</v>
      </c>
      <c r="N431" s="16" t="s">
        <v>1222</v>
      </c>
      <c r="O431" s="16">
        <v>430</v>
      </c>
      <c r="P431" s="16" t="s">
        <v>118</v>
      </c>
      <c r="Q431" s="16" t="s">
        <v>127</v>
      </c>
      <c r="R431" s="16" t="s">
        <v>91</v>
      </c>
      <c r="S431" s="16" t="s">
        <v>95</v>
      </c>
      <c r="T431" s="16" t="s">
        <v>86</v>
      </c>
      <c r="U431" s="16" t="s">
        <v>100</v>
      </c>
      <c r="V431" s="16" t="s">
        <v>122</v>
      </c>
      <c r="W431" s="16" t="s">
        <v>131</v>
      </c>
    </row>
    <row r="432" spans="1:23">
      <c r="A432" s="9" t="s">
        <v>1223</v>
      </c>
      <c r="B432" s="9">
        <f ca="1">+IF(A432=WORLDCUP!$BI$112,1,0)</f>
        <v>0</v>
      </c>
      <c r="C432" s="9" t="str">
        <f ca="1">+WORLDCUP!BD60</f>
        <v>Scotland</v>
      </c>
      <c r="D432" s="9" t="str">
        <f ca="1">+WORLDCUP!BD67</f>
        <v>Algeria</v>
      </c>
      <c r="E432" s="9" t="str">
        <f ca="1">+WORLDCUP!BD59</f>
        <v>Switzerland</v>
      </c>
      <c r="F432" s="9" t="str">
        <f ca="1">+WORLDCUP!BD61</f>
        <v>Australia</v>
      </c>
      <c r="G432" s="9" t="str">
        <f ca="1">+WORLDCUP!BD58</f>
        <v>South Korea</v>
      </c>
      <c r="H432" s="9" t="str">
        <f ca="1">+WORLDCUP!BD64</f>
        <v>Egypt</v>
      </c>
      <c r="I432" s="9" t="str">
        <f ca="1">+WORLDCUP!BD69</f>
        <v>Croatia</v>
      </c>
      <c r="J432" s="9" t="str">
        <f ca="1">+WORLDCUP!BD68</f>
        <v>DR Congo</v>
      </c>
      <c r="N432" s="16" t="s">
        <v>1223</v>
      </c>
      <c r="O432" s="16">
        <v>431</v>
      </c>
      <c r="P432" s="16" t="s">
        <v>95</v>
      </c>
      <c r="Q432" s="16" t="s">
        <v>127</v>
      </c>
      <c r="R432" s="16" t="s">
        <v>91</v>
      </c>
      <c r="S432" s="16" t="s">
        <v>100</v>
      </c>
      <c r="T432" s="16" t="s">
        <v>86</v>
      </c>
      <c r="U432" s="16" t="s">
        <v>113</v>
      </c>
      <c r="V432" s="16" t="s">
        <v>136</v>
      </c>
      <c r="W432" s="16" t="s">
        <v>131</v>
      </c>
    </row>
    <row r="433" spans="1:23">
      <c r="A433" s="9" t="s">
        <v>1224</v>
      </c>
      <c r="B433" s="9">
        <f ca="1">+IF(A433=WORLDCUP!$BI$112,1,0)</f>
        <v>0</v>
      </c>
      <c r="C433" s="9" t="str">
        <f ca="1">+WORLDCUP!BD66</f>
        <v>Norway</v>
      </c>
      <c r="D433" s="9" t="str">
        <f ca="1">+WORLDCUP!BD64</f>
        <v>Egypt</v>
      </c>
      <c r="E433" s="9" t="str">
        <f ca="1">+WORLDCUP!BD59</f>
        <v>Switzerland</v>
      </c>
      <c r="F433" s="9" t="str">
        <f ca="1">+WORLDCUP!BD60</f>
        <v>Scotland</v>
      </c>
      <c r="G433" s="9" t="str">
        <f ca="1">+WORLDCUP!BD58</f>
        <v>South Korea</v>
      </c>
      <c r="H433" s="9" t="str">
        <f ca="1">+WORLDCUP!BD61</f>
        <v>Australia</v>
      </c>
      <c r="I433" s="9" t="str">
        <f ca="1">+WORLDCUP!BD69</f>
        <v>Croatia</v>
      </c>
      <c r="J433" s="9" t="str">
        <f ca="1">+WORLDCUP!BD68</f>
        <v>DR Congo</v>
      </c>
      <c r="N433" s="16" t="s">
        <v>1224</v>
      </c>
      <c r="O433" s="16">
        <v>432</v>
      </c>
      <c r="P433" s="16" t="s">
        <v>122</v>
      </c>
      <c r="Q433" s="16" t="s">
        <v>113</v>
      </c>
      <c r="R433" s="16" t="s">
        <v>91</v>
      </c>
      <c r="S433" s="16" t="s">
        <v>95</v>
      </c>
      <c r="T433" s="16" t="s">
        <v>86</v>
      </c>
      <c r="U433" s="16" t="s">
        <v>100</v>
      </c>
      <c r="V433" s="16" t="s">
        <v>136</v>
      </c>
      <c r="W433" s="16" t="s">
        <v>131</v>
      </c>
    </row>
    <row r="434" spans="1:23">
      <c r="A434" s="9" t="s">
        <v>1225</v>
      </c>
      <c r="B434" s="9">
        <f ca="1">+IF(A434=WORLDCUP!$BI$112,1,0)</f>
        <v>0</v>
      </c>
      <c r="C434" s="9" t="str">
        <f ca="1">+WORLDCUP!BD60</f>
        <v>Scotland</v>
      </c>
      <c r="D434" s="9" t="str">
        <f ca="1">+WORLDCUP!BD67</f>
        <v>Algeria</v>
      </c>
      <c r="E434" s="9" t="str">
        <f ca="1">+WORLDCUP!BD59</f>
        <v>Switzerland</v>
      </c>
      <c r="F434" s="9" t="str">
        <f ca="1">+WORLDCUP!BD61</f>
        <v>Australia</v>
      </c>
      <c r="G434" s="9" t="str">
        <f ca="1">+WORLDCUP!BD58</f>
        <v>South Korea</v>
      </c>
      <c r="H434" s="9" t="str">
        <f ca="1">+WORLDCUP!BD64</f>
        <v>Egypt</v>
      </c>
      <c r="I434" s="9" t="str">
        <f ca="1">+WORLDCUP!BD69</f>
        <v>Croatia</v>
      </c>
      <c r="J434" s="9" t="str">
        <f ca="1">+WORLDCUP!BD66</f>
        <v>Norway</v>
      </c>
      <c r="N434" s="16" t="s">
        <v>1225</v>
      </c>
      <c r="O434" s="16">
        <v>433</v>
      </c>
      <c r="P434" s="16" t="s">
        <v>95</v>
      </c>
      <c r="Q434" s="16" t="s">
        <v>127</v>
      </c>
      <c r="R434" s="16" t="s">
        <v>91</v>
      </c>
      <c r="S434" s="16" t="s">
        <v>100</v>
      </c>
      <c r="T434" s="16" t="s">
        <v>86</v>
      </c>
      <c r="U434" s="16" t="s">
        <v>113</v>
      </c>
      <c r="V434" s="16" t="s">
        <v>136</v>
      </c>
      <c r="W434" s="16" t="s">
        <v>122</v>
      </c>
    </row>
    <row r="435" spans="1:23">
      <c r="A435" s="9" t="s">
        <v>1226</v>
      </c>
      <c r="B435" s="9">
        <f ca="1">+IF(A435=WORLDCUP!$BI$112,1,0)</f>
        <v>0</v>
      </c>
      <c r="C435" s="9" t="str">
        <f ca="1">+WORLDCUP!BD60</f>
        <v>Scotland</v>
      </c>
      <c r="D435" s="9" t="str">
        <f ca="1">+WORLDCUP!BD67</f>
        <v>Algeria</v>
      </c>
      <c r="E435" s="9" t="str">
        <f ca="1">+WORLDCUP!BD59</f>
        <v>Switzerland</v>
      </c>
      <c r="F435" s="9" t="str">
        <f ca="1">+WORLDCUP!BD61</f>
        <v>Australia</v>
      </c>
      <c r="G435" s="9" t="str">
        <f ca="1">+WORLDCUP!BD58</f>
        <v>South Korea</v>
      </c>
      <c r="H435" s="9" t="str">
        <f ca="1">+WORLDCUP!BD64</f>
        <v>Egypt</v>
      </c>
      <c r="I435" s="9" t="str">
        <f ca="1">+WORLDCUP!BD66</f>
        <v>Norway</v>
      </c>
      <c r="J435" s="9" t="str">
        <f ca="1">+WORLDCUP!BD68</f>
        <v>DR Congo</v>
      </c>
      <c r="N435" s="16" t="s">
        <v>1226</v>
      </c>
      <c r="O435" s="16">
        <v>434</v>
      </c>
      <c r="P435" s="16" t="s">
        <v>95</v>
      </c>
      <c r="Q435" s="16" t="s">
        <v>127</v>
      </c>
      <c r="R435" s="16" t="s">
        <v>91</v>
      </c>
      <c r="S435" s="16" t="s">
        <v>100</v>
      </c>
      <c r="T435" s="16" t="s">
        <v>86</v>
      </c>
      <c r="U435" s="16" t="s">
        <v>113</v>
      </c>
      <c r="V435" s="16" t="s">
        <v>122</v>
      </c>
      <c r="W435" s="16" t="s">
        <v>131</v>
      </c>
    </row>
    <row r="436" spans="1:23">
      <c r="A436" s="9" t="s">
        <v>1227</v>
      </c>
      <c r="B436" s="9">
        <f ca="1">+IF(A436=WORLDCUP!$BI$112,1,0)</f>
        <v>0</v>
      </c>
      <c r="C436" s="9" t="str">
        <f ca="1">+WORLDCUP!BD65</f>
        <v>Saudi Arabia</v>
      </c>
      <c r="D436" s="9" t="str">
        <f ca="1">+WORLDCUP!BD64</f>
        <v>Egypt</v>
      </c>
      <c r="E436" s="9" t="str">
        <f ca="1">+WORLDCUP!BD59</f>
        <v>Switzerland</v>
      </c>
      <c r="F436" s="9" t="str">
        <f ca="1">+WORLDCUP!BD60</f>
        <v>Scotland</v>
      </c>
      <c r="G436" s="9" t="str">
        <f ca="1">+WORLDCUP!BD58</f>
        <v>South Korea</v>
      </c>
      <c r="H436" s="9" t="str">
        <f ca="1">+WORLDCUP!BD61</f>
        <v>Australia</v>
      </c>
      <c r="I436" s="9" t="str">
        <f ca="1">+WORLDCUP!BD69</f>
        <v>Croatia</v>
      </c>
      <c r="J436" s="9" t="str">
        <f ca="1">+WORLDCUP!BD68</f>
        <v>DR Congo</v>
      </c>
      <c r="N436" s="16" t="s">
        <v>1227</v>
      </c>
      <c r="O436" s="16">
        <v>435</v>
      </c>
      <c r="P436" s="16" t="s">
        <v>118</v>
      </c>
      <c r="Q436" s="16" t="s">
        <v>113</v>
      </c>
      <c r="R436" s="16" t="s">
        <v>91</v>
      </c>
      <c r="S436" s="16" t="s">
        <v>95</v>
      </c>
      <c r="T436" s="16" t="s">
        <v>86</v>
      </c>
      <c r="U436" s="16" t="s">
        <v>100</v>
      </c>
      <c r="V436" s="16" t="s">
        <v>136</v>
      </c>
      <c r="W436" s="16" t="s">
        <v>131</v>
      </c>
    </row>
    <row r="437" spans="1:23">
      <c r="A437" s="9" t="s">
        <v>1228</v>
      </c>
      <c r="B437" s="9">
        <f ca="1">+IF(A437=WORLDCUP!$BI$112,1,0)</f>
        <v>0</v>
      </c>
      <c r="C437" s="9" t="str">
        <f ca="1">+WORLDCUP!BD65</f>
        <v>Saudi Arabia</v>
      </c>
      <c r="D437" s="9" t="str">
        <f ca="1">+WORLDCUP!BD64</f>
        <v>Egypt</v>
      </c>
      <c r="E437" s="9" t="str">
        <f ca="1">+WORLDCUP!BD59</f>
        <v>Switzerland</v>
      </c>
      <c r="F437" s="9" t="str">
        <f ca="1">+WORLDCUP!BD60</f>
        <v>Scotland</v>
      </c>
      <c r="G437" s="9" t="str">
        <f ca="1">+WORLDCUP!BD58</f>
        <v>South Korea</v>
      </c>
      <c r="H437" s="9" t="str">
        <f ca="1">+WORLDCUP!BD61</f>
        <v>Australia</v>
      </c>
      <c r="I437" s="9" t="str">
        <f ca="1">+WORLDCUP!BD69</f>
        <v>Croatia</v>
      </c>
      <c r="J437" s="9" t="str">
        <f ca="1">+WORLDCUP!BD67</f>
        <v>Algeria</v>
      </c>
      <c r="N437" s="16" t="s">
        <v>1228</v>
      </c>
      <c r="O437" s="16">
        <v>436</v>
      </c>
      <c r="P437" s="16" t="s">
        <v>118</v>
      </c>
      <c r="Q437" s="16" t="s">
        <v>113</v>
      </c>
      <c r="R437" s="16" t="s">
        <v>91</v>
      </c>
      <c r="S437" s="16" t="s">
        <v>95</v>
      </c>
      <c r="T437" s="16" t="s">
        <v>86</v>
      </c>
      <c r="U437" s="16" t="s">
        <v>100</v>
      </c>
      <c r="V437" s="16" t="s">
        <v>136</v>
      </c>
      <c r="W437" s="16" t="s">
        <v>127</v>
      </c>
    </row>
    <row r="438" spans="1:23">
      <c r="A438" s="9" t="s">
        <v>1229</v>
      </c>
      <c r="B438" s="9">
        <f ca="1">+IF(A438=WORLDCUP!$BI$112,1,0)</f>
        <v>0</v>
      </c>
      <c r="C438" s="9" t="str">
        <f ca="1">+WORLDCUP!BD65</f>
        <v>Saudi Arabia</v>
      </c>
      <c r="D438" s="9" t="str">
        <f ca="1">+WORLDCUP!BD64</f>
        <v>Egypt</v>
      </c>
      <c r="E438" s="9" t="str">
        <f ca="1">+WORLDCUP!BD59</f>
        <v>Switzerland</v>
      </c>
      <c r="F438" s="9" t="str">
        <f ca="1">+WORLDCUP!BD60</f>
        <v>Scotland</v>
      </c>
      <c r="G438" s="9" t="str">
        <f ca="1">+WORLDCUP!BD58</f>
        <v>South Korea</v>
      </c>
      <c r="H438" s="9" t="str">
        <f ca="1">+WORLDCUP!BD61</f>
        <v>Australia</v>
      </c>
      <c r="I438" s="9" t="str">
        <f ca="1">+WORLDCUP!BD67</f>
        <v>Algeria</v>
      </c>
      <c r="J438" s="9" t="str">
        <f ca="1">+WORLDCUP!BD68</f>
        <v>DR Congo</v>
      </c>
      <c r="N438" s="16" t="s">
        <v>1229</v>
      </c>
      <c r="O438" s="16">
        <v>437</v>
      </c>
      <c r="P438" s="16" t="s">
        <v>118</v>
      </c>
      <c r="Q438" s="16" t="s">
        <v>113</v>
      </c>
      <c r="R438" s="16" t="s">
        <v>91</v>
      </c>
      <c r="S438" s="16" t="s">
        <v>95</v>
      </c>
      <c r="T438" s="16" t="s">
        <v>86</v>
      </c>
      <c r="U438" s="16" t="s">
        <v>100</v>
      </c>
      <c r="V438" s="16" t="s">
        <v>127</v>
      </c>
      <c r="W438" s="16" t="s">
        <v>131</v>
      </c>
    </row>
    <row r="439" spans="1:23">
      <c r="A439" s="9" t="s">
        <v>1230</v>
      </c>
      <c r="B439" s="9">
        <f ca="1">+IF(A439=WORLDCUP!$BI$112,1,0)</f>
        <v>0</v>
      </c>
      <c r="C439" s="9" t="str">
        <f ca="1">+WORLDCUP!BD65</f>
        <v>Saudi Arabia</v>
      </c>
      <c r="D439" s="9" t="str">
        <f ca="1">+WORLDCUP!BD64</f>
        <v>Egypt</v>
      </c>
      <c r="E439" s="9" t="str">
        <f ca="1">+WORLDCUP!BD59</f>
        <v>Switzerland</v>
      </c>
      <c r="F439" s="9" t="str">
        <f ca="1">+WORLDCUP!BD60</f>
        <v>Scotland</v>
      </c>
      <c r="G439" s="9" t="str">
        <f ca="1">+WORLDCUP!BD58</f>
        <v>South Korea</v>
      </c>
      <c r="H439" s="9" t="str">
        <f ca="1">+WORLDCUP!BD61</f>
        <v>Australia</v>
      </c>
      <c r="I439" s="9" t="str">
        <f ca="1">+WORLDCUP!BD69</f>
        <v>Croatia</v>
      </c>
      <c r="J439" s="9" t="str">
        <f ca="1">+WORLDCUP!BD66</f>
        <v>Norway</v>
      </c>
      <c r="N439" s="16" t="s">
        <v>1230</v>
      </c>
      <c r="O439" s="16">
        <v>438</v>
      </c>
      <c r="P439" s="16" t="s">
        <v>118</v>
      </c>
      <c r="Q439" s="16" t="s">
        <v>113</v>
      </c>
      <c r="R439" s="16" t="s">
        <v>91</v>
      </c>
      <c r="S439" s="16" t="s">
        <v>95</v>
      </c>
      <c r="T439" s="16" t="s">
        <v>86</v>
      </c>
      <c r="U439" s="16" t="s">
        <v>100</v>
      </c>
      <c r="V439" s="16" t="s">
        <v>136</v>
      </c>
      <c r="W439" s="16" t="s">
        <v>122</v>
      </c>
    </row>
    <row r="440" spans="1:23">
      <c r="A440" s="9" t="s">
        <v>1231</v>
      </c>
      <c r="B440" s="9">
        <f ca="1">+IF(A440=WORLDCUP!$BI$112,1,0)</f>
        <v>0</v>
      </c>
      <c r="C440" s="9" t="str">
        <f ca="1">+WORLDCUP!BD65</f>
        <v>Saudi Arabia</v>
      </c>
      <c r="D440" s="9" t="str">
        <f ca="1">+WORLDCUP!BD64</f>
        <v>Egypt</v>
      </c>
      <c r="E440" s="9" t="str">
        <f ca="1">+WORLDCUP!BD59</f>
        <v>Switzerland</v>
      </c>
      <c r="F440" s="9" t="str">
        <f ca="1">+WORLDCUP!BD60</f>
        <v>Scotland</v>
      </c>
      <c r="G440" s="9" t="str">
        <f ca="1">+WORLDCUP!BD58</f>
        <v>South Korea</v>
      </c>
      <c r="H440" s="9" t="str">
        <f ca="1">+WORLDCUP!BD61</f>
        <v>Australia</v>
      </c>
      <c r="I440" s="9" t="str">
        <f ca="1">+WORLDCUP!BD66</f>
        <v>Norway</v>
      </c>
      <c r="J440" s="9" t="str">
        <f ca="1">+WORLDCUP!BD68</f>
        <v>DR Congo</v>
      </c>
      <c r="N440" s="16" t="s">
        <v>1231</v>
      </c>
      <c r="O440" s="16">
        <v>439</v>
      </c>
      <c r="P440" s="16" t="s">
        <v>118</v>
      </c>
      <c r="Q440" s="16" t="s">
        <v>113</v>
      </c>
      <c r="R440" s="16" t="s">
        <v>91</v>
      </c>
      <c r="S440" s="16" t="s">
        <v>95</v>
      </c>
      <c r="T440" s="16" t="s">
        <v>86</v>
      </c>
      <c r="U440" s="16" t="s">
        <v>100</v>
      </c>
      <c r="V440" s="16" t="s">
        <v>122</v>
      </c>
      <c r="W440" s="16" t="s">
        <v>131</v>
      </c>
    </row>
    <row r="441" spans="1:23">
      <c r="A441" s="9" t="s">
        <v>1232</v>
      </c>
      <c r="B441" s="9">
        <f ca="1">+IF(A441=WORLDCUP!$BI$112,1,0)</f>
        <v>0</v>
      </c>
      <c r="C441" s="9" t="str">
        <f ca="1">+WORLDCUP!BD65</f>
        <v>Saudi Arabia</v>
      </c>
      <c r="D441" s="9" t="str">
        <f ca="1">+WORLDCUP!BD64</f>
        <v>Egypt</v>
      </c>
      <c r="E441" s="9" t="str">
        <f ca="1">+WORLDCUP!BD59</f>
        <v>Switzerland</v>
      </c>
      <c r="F441" s="9" t="str">
        <f ca="1">+WORLDCUP!BD60</f>
        <v>Scotland</v>
      </c>
      <c r="G441" s="9" t="str">
        <f ca="1">+WORLDCUP!BD58</f>
        <v>South Korea</v>
      </c>
      <c r="H441" s="9" t="str">
        <f ca="1">+WORLDCUP!BD61</f>
        <v>Australia</v>
      </c>
      <c r="I441" s="9" t="str">
        <f ca="1">+WORLDCUP!BD66</f>
        <v>Norway</v>
      </c>
      <c r="J441" s="9" t="str">
        <f ca="1">+WORLDCUP!BD67</f>
        <v>Algeria</v>
      </c>
      <c r="N441" s="16" t="s">
        <v>1232</v>
      </c>
      <c r="O441" s="16">
        <v>440</v>
      </c>
      <c r="P441" s="16" t="s">
        <v>118</v>
      </c>
      <c r="Q441" s="16" t="s">
        <v>113</v>
      </c>
      <c r="R441" s="16" t="s">
        <v>91</v>
      </c>
      <c r="S441" s="16" t="s">
        <v>95</v>
      </c>
      <c r="T441" s="16" t="s">
        <v>86</v>
      </c>
      <c r="U441" s="16" t="s">
        <v>100</v>
      </c>
      <c r="V441" s="16" t="s">
        <v>122</v>
      </c>
      <c r="W441" s="16" t="s">
        <v>127</v>
      </c>
    </row>
    <row r="442" spans="1:23">
      <c r="A442" s="9" t="s">
        <v>1233</v>
      </c>
      <c r="B442" s="9">
        <f ca="1">+IF(A442=WORLDCUP!$BI$112,1,0)</f>
        <v>0</v>
      </c>
      <c r="C442" s="9" t="str">
        <f ca="1">+WORLDCUP!BD60</f>
        <v>Scotland</v>
      </c>
      <c r="D442" s="9" t="str">
        <f ca="1">+WORLDCUP!BD67</f>
        <v>Algeria</v>
      </c>
      <c r="E442" s="9" t="str">
        <f ca="1">+WORLDCUP!BD59</f>
        <v>Switzerland</v>
      </c>
      <c r="F442" s="9" t="str">
        <f ca="1">+WORLDCUP!BD61</f>
        <v>Australia</v>
      </c>
      <c r="G442" s="9" t="str">
        <f ca="1">+WORLDCUP!BD58</f>
        <v>South Korea</v>
      </c>
      <c r="H442" s="9" t="str">
        <f ca="1">+WORLDCUP!BD63</f>
        <v>Tunisia</v>
      </c>
      <c r="I442" s="9" t="str">
        <f ca="1">+WORLDCUP!BD69</f>
        <v>Croatia</v>
      </c>
      <c r="J442" s="9" t="str">
        <f ca="1">+WORLDCUP!BD68</f>
        <v>DR Congo</v>
      </c>
      <c r="N442" s="16" t="s">
        <v>1233</v>
      </c>
      <c r="O442" s="16">
        <v>441</v>
      </c>
      <c r="P442" s="16" t="s">
        <v>95</v>
      </c>
      <c r="Q442" s="16" t="s">
        <v>127</v>
      </c>
      <c r="R442" s="16" t="s">
        <v>91</v>
      </c>
      <c r="S442" s="16" t="s">
        <v>100</v>
      </c>
      <c r="T442" s="16" t="s">
        <v>86</v>
      </c>
      <c r="U442" s="16" t="s">
        <v>109</v>
      </c>
      <c r="V442" s="16" t="s">
        <v>136</v>
      </c>
      <c r="W442" s="16" t="s">
        <v>131</v>
      </c>
    </row>
    <row r="443" spans="1:23">
      <c r="A443" s="9" t="s">
        <v>1234</v>
      </c>
      <c r="B443" s="9">
        <f ca="1">+IF(A443=WORLDCUP!$BI$112,1,0)</f>
        <v>0</v>
      </c>
      <c r="C443" s="9" t="str">
        <f ca="1">+WORLDCUP!BD60</f>
        <v>Scotland</v>
      </c>
      <c r="D443" s="9" t="str">
        <f ca="1">+WORLDCUP!BD66</f>
        <v>Norway</v>
      </c>
      <c r="E443" s="9" t="str">
        <f ca="1">+WORLDCUP!BD59</f>
        <v>Switzerland</v>
      </c>
      <c r="F443" s="9" t="str">
        <f ca="1">+WORLDCUP!BD61</f>
        <v>Australia</v>
      </c>
      <c r="G443" s="9" t="str">
        <f ca="1">+WORLDCUP!BD58</f>
        <v>South Korea</v>
      </c>
      <c r="H443" s="9" t="str">
        <f ca="1">+WORLDCUP!BD63</f>
        <v>Tunisia</v>
      </c>
      <c r="I443" s="9" t="str">
        <f ca="1">+WORLDCUP!BD69</f>
        <v>Croatia</v>
      </c>
      <c r="J443" s="9" t="str">
        <f ca="1">+WORLDCUP!BD68</f>
        <v>DR Congo</v>
      </c>
      <c r="N443" s="16" t="s">
        <v>1234</v>
      </c>
      <c r="O443" s="16">
        <v>442</v>
      </c>
      <c r="P443" s="16" t="s">
        <v>95</v>
      </c>
      <c r="Q443" s="16" t="s">
        <v>122</v>
      </c>
      <c r="R443" s="16" t="s">
        <v>91</v>
      </c>
      <c r="S443" s="16" t="s">
        <v>100</v>
      </c>
      <c r="T443" s="16" t="s">
        <v>86</v>
      </c>
      <c r="U443" s="16" t="s">
        <v>109</v>
      </c>
      <c r="V443" s="16" t="s">
        <v>136</v>
      </c>
      <c r="W443" s="16" t="s">
        <v>131</v>
      </c>
    </row>
    <row r="444" spans="1:23">
      <c r="A444" s="9" t="s">
        <v>1235</v>
      </c>
      <c r="B444" s="9">
        <f ca="1">+IF(A444=WORLDCUP!$BI$112,1,0)</f>
        <v>0</v>
      </c>
      <c r="C444" s="9" t="str">
        <f ca="1">+WORLDCUP!BD60</f>
        <v>Scotland</v>
      </c>
      <c r="D444" s="9" t="str">
        <f ca="1">+WORLDCUP!BD67</f>
        <v>Algeria</v>
      </c>
      <c r="E444" s="9" t="str">
        <f ca="1">+WORLDCUP!BD59</f>
        <v>Switzerland</v>
      </c>
      <c r="F444" s="9" t="str">
        <f ca="1">+WORLDCUP!BD61</f>
        <v>Australia</v>
      </c>
      <c r="G444" s="9" t="str">
        <f ca="1">+WORLDCUP!BD58</f>
        <v>South Korea</v>
      </c>
      <c r="H444" s="9" t="str">
        <f ca="1">+WORLDCUP!BD63</f>
        <v>Tunisia</v>
      </c>
      <c r="I444" s="9" t="str">
        <f ca="1">+WORLDCUP!BD69</f>
        <v>Croatia</v>
      </c>
      <c r="J444" s="9" t="str">
        <f ca="1">+WORLDCUP!BD66</f>
        <v>Norway</v>
      </c>
      <c r="N444" s="16" t="s">
        <v>1235</v>
      </c>
      <c r="O444" s="16">
        <v>443</v>
      </c>
      <c r="P444" s="16" t="s">
        <v>95</v>
      </c>
      <c r="Q444" s="16" t="s">
        <v>127</v>
      </c>
      <c r="R444" s="16" t="s">
        <v>91</v>
      </c>
      <c r="S444" s="16" t="s">
        <v>100</v>
      </c>
      <c r="T444" s="16" t="s">
        <v>86</v>
      </c>
      <c r="U444" s="16" t="s">
        <v>109</v>
      </c>
      <c r="V444" s="16" t="s">
        <v>136</v>
      </c>
      <c r="W444" s="16" t="s">
        <v>122</v>
      </c>
    </row>
    <row r="445" spans="1:23">
      <c r="A445" s="9" t="s">
        <v>1236</v>
      </c>
      <c r="B445" s="9">
        <f ca="1">+IF(A445=WORLDCUP!$BI$112,1,0)</f>
        <v>0</v>
      </c>
      <c r="C445" s="9" t="str">
        <f ca="1">+WORLDCUP!BD60</f>
        <v>Scotland</v>
      </c>
      <c r="D445" s="9" t="str">
        <f ca="1">+WORLDCUP!BD67</f>
        <v>Algeria</v>
      </c>
      <c r="E445" s="9" t="str">
        <f ca="1">+WORLDCUP!BD59</f>
        <v>Switzerland</v>
      </c>
      <c r="F445" s="9" t="str">
        <f ca="1">+WORLDCUP!BD61</f>
        <v>Australia</v>
      </c>
      <c r="G445" s="9" t="str">
        <f ca="1">+WORLDCUP!BD58</f>
        <v>South Korea</v>
      </c>
      <c r="H445" s="9" t="str">
        <f ca="1">+WORLDCUP!BD63</f>
        <v>Tunisia</v>
      </c>
      <c r="I445" s="9" t="str">
        <f ca="1">+WORLDCUP!BD66</f>
        <v>Norway</v>
      </c>
      <c r="J445" s="9" t="str">
        <f ca="1">+WORLDCUP!BD68</f>
        <v>DR Congo</v>
      </c>
      <c r="N445" s="16" t="s">
        <v>1236</v>
      </c>
      <c r="O445" s="16">
        <v>444</v>
      </c>
      <c r="P445" s="16" t="s">
        <v>95</v>
      </c>
      <c r="Q445" s="16" t="s">
        <v>127</v>
      </c>
      <c r="R445" s="16" t="s">
        <v>91</v>
      </c>
      <c r="S445" s="16" t="s">
        <v>100</v>
      </c>
      <c r="T445" s="16" t="s">
        <v>86</v>
      </c>
      <c r="U445" s="16" t="s">
        <v>109</v>
      </c>
      <c r="V445" s="16" t="s">
        <v>122</v>
      </c>
      <c r="W445" s="16" t="s">
        <v>131</v>
      </c>
    </row>
    <row r="446" spans="1:23">
      <c r="A446" s="9" t="s">
        <v>1237</v>
      </c>
      <c r="B446" s="9">
        <f ca="1">+IF(A446=WORLDCUP!$BI$112,1,0)</f>
        <v>0</v>
      </c>
      <c r="C446" s="9" t="str">
        <f ca="1">+WORLDCUP!BD65</f>
        <v>Saudi Arabia</v>
      </c>
      <c r="D446" s="9" t="str">
        <f ca="1">+WORLDCUP!BD63</f>
        <v>Tunisia</v>
      </c>
      <c r="E446" s="9" t="str">
        <f ca="1">+WORLDCUP!BD59</f>
        <v>Switzerland</v>
      </c>
      <c r="F446" s="9" t="str">
        <f ca="1">+WORLDCUP!BD60</f>
        <v>Scotland</v>
      </c>
      <c r="G446" s="9" t="str">
        <f ca="1">+WORLDCUP!BD58</f>
        <v>South Korea</v>
      </c>
      <c r="H446" s="9" t="str">
        <f ca="1">+WORLDCUP!BD61</f>
        <v>Australia</v>
      </c>
      <c r="I446" s="9" t="str">
        <f ca="1">+WORLDCUP!BD69</f>
        <v>Croatia</v>
      </c>
      <c r="J446" s="9" t="str">
        <f ca="1">+WORLDCUP!BD68</f>
        <v>DR Congo</v>
      </c>
      <c r="N446" s="16" t="s">
        <v>1237</v>
      </c>
      <c r="O446" s="16">
        <v>445</v>
      </c>
      <c r="P446" s="16" t="s">
        <v>118</v>
      </c>
      <c r="Q446" s="16" t="s">
        <v>109</v>
      </c>
      <c r="R446" s="16" t="s">
        <v>91</v>
      </c>
      <c r="S446" s="16" t="s">
        <v>95</v>
      </c>
      <c r="T446" s="16" t="s">
        <v>86</v>
      </c>
      <c r="U446" s="16" t="s">
        <v>100</v>
      </c>
      <c r="V446" s="16" t="s">
        <v>136</v>
      </c>
      <c r="W446" s="16" t="s">
        <v>131</v>
      </c>
    </row>
    <row r="447" spans="1:23">
      <c r="A447" s="9" t="s">
        <v>1238</v>
      </c>
      <c r="B447" s="9">
        <f ca="1">+IF(A447=WORLDCUP!$BI$112,1,0)</f>
        <v>0</v>
      </c>
      <c r="C447" s="9" t="str">
        <f ca="1">+WORLDCUP!BD60</f>
        <v>Scotland</v>
      </c>
      <c r="D447" s="9" t="str">
        <f ca="1">+WORLDCUP!BD67</f>
        <v>Algeria</v>
      </c>
      <c r="E447" s="9" t="str">
        <f ca="1">+WORLDCUP!BD59</f>
        <v>Switzerland</v>
      </c>
      <c r="F447" s="9" t="str">
        <f ca="1">+WORLDCUP!BD61</f>
        <v>Australia</v>
      </c>
      <c r="G447" s="9" t="str">
        <f ca="1">+WORLDCUP!BD58</f>
        <v>South Korea</v>
      </c>
      <c r="H447" s="9" t="str">
        <f ca="1">+WORLDCUP!BD63</f>
        <v>Tunisia</v>
      </c>
      <c r="I447" s="9" t="str">
        <f ca="1">+WORLDCUP!BD69</f>
        <v>Croatia</v>
      </c>
      <c r="J447" s="9" t="str">
        <f ca="1">+WORLDCUP!BD65</f>
        <v>Saudi Arabia</v>
      </c>
      <c r="N447" s="16" t="s">
        <v>1238</v>
      </c>
      <c r="O447" s="16">
        <v>446</v>
      </c>
      <c r="P447" s="16" t="s">
        <v>95</v>
      </c>
      <c r="Q447" s="16" t="s">
        <v>127</v>
      </c>
      <c r="R447" s="16" t="s">
        <v>91</v>
      </c>
      <c r="S447" s="16" t="s">
        <v>100</v>
      </c>
      <c r="T447" s="16" t="s">
        <v>86</v>
      </c>
      <c r="U447" s="16" t="s">
        <v>109</v>
      </c>
      <c r="V447" s="16" t="s">
        <v>136</v>
      </c>
      <c r="W447" s="16" t="s">
        <v>118</v>
      </c>
    </row>
    <row r="448" spans="1:23">
      <c r="A448" s="9" t="s">
        <v>1239</v>
      </c>
      <c r="B448" s="9">
        <f ca="1">+IF(A448=WORLDCUP!$BI$112,1,0)</f>
        <v>0</v>
      </c>
      <c r="C448" s="9" t="str">
        <f ca="1">+WORLDCUP!BD65</f>
        <v>Saudi Arabia</v>
      </c>
      <c r="D448" s="9" t="str">
        <f ca="1">+WORLDCUP!BD67</f>
        <v>Algeria</v>
      </c>
      <c r="E448" s="9" t="str">
        <f ca="1">+WORLDCUP!BD59</f>
        <v>Switzerland</v>
      </c>
      <c r="F448" s="9" t="str">
        <f ca="1">+WORLDCUP!BD60</f>
        <v>Scotland</v>
      </c>
      <c r="G448" s="9" t="str">
        <f ca="1">+WORLDCUP!BD58</f>
        <v>South Korea</v>
      </c>
      <c r="H448" s="9" t="str">
        <f ca="1">+WORLDCUP!BD63</f>
        <v>Tunisia</v>
      </c>
      <c r="I448" s="9" t="str">
        <f ca="1">+WORLDCUP!BD61</f>
        <v>Australia</v>
      </c>
      <c r="J448" s="9" t="str">
        <f ca="1">+WORLDCUP!BD68</f>
        <v>DR Congo</v>
      </c>
      <c r="N448" s="16" t="s">
        <v>1239</v>
      </c>
      <c r="O448" s="16">
        <v>447</v>
      </c>
      <c r="P448" s="16" t="s">
        <v>118</v>
      </c>
      <c r="Q448" s="16" t="s">
        <v>127</v>
      </c>
      <c r="R448" s="16" t="s">
        <v>91</v>
      </c>
      <c r="S448" s="16" t="s">
        <v>95</v>
      </c>
      <c r="T448" s="16" t="s">
        <v>86</v>
      </c>
      <c r="U448" s="16" t="s">
        <v>109</v>
      </c>
      <c r="V448" s="16" t="s">
        <v>100</v>
      </c>
      <c r="W448" s="16" t="s">
        <v>131</v>
      </c>
    </row>
    <row r="449" spans="1:23">
      <c r="A449" s="9" t="s">
        <v>1240</v>
      </c>
      <c r="B449" s="9">
        <f ca="1">+IF(A449=WORLDCUP!$BI$112,1,0)</f>
        <v>0</v>
      </c>
      <c r="C449" s="9" t="str">
        <f ca="1">+WORLDCUP!BD65</f>
        <v>Saudi Arabia</v>
      </c>
      <c r="D449" s="9" t="str">
        <f ca="1">+WORLDCUP!BD63</f>
        <v>Tunisia</v>
      </c>
      <c r="E449" s="9" t="str">
        <f ca="1">+WORLDCUP!BD59</f>
        <v>Switzerland</v>
      </c>
      <c r="F449" s="9" t="str">
        <f ca="1">+WORLDCUP!BD60</f>
        <v>Scotland</v>
      </c>
      <c r="G449" s="9" t="str">
        <f ca="1">+WORLDCUP!BD58</f>
        <v>South Korea</v>
      </c>
      <c r="H449" s="9" t="str">
        <f ca="1">+WORLDCUP!BD61</f>
        <v>Australia</v>
      </c>
      <c r="I449" s="9" t="str">
        <f ca="1">+WORLDCUP!BD69</f>
        <v>Croatia</v>
      </c>
      <c r="J449" s="9" t="str">
        <f ca="1">+WORLDCUP!BD66</f>
        <v>Norway</v>
      </c>
      <c r="N449" s="16" t="s">
        <v>1240</v>
      </c>
      <c r="O449" s="16">
        <v>448</v>
      </c>
      <c r="P449" s="16" t="s">
        <v>118</v>
      </c>
      <c r="Q449" s="16" t="s">
        <v>109</v>
      </c>
      <c r="R449" s="16" t="s">
        <v>91</v>
      </c>
      <c r="S449" s="16" t="s">
        <v>95</v>
      </c>
      <c r="T449" s="16" t="s">
        <v>86</v>
      </c>
      <c r="U449" s="16" t="s">
        <v>100</v>
      </c>
      <c r="V449" s="16" t="s">
        <v>136</v>
      </c>
      <c r="W449" s="16" t="s">
        <v>122</v>
      </c>
    </row>
    <row r="450" spans="1:23">
      <c r="A450" s="9" t="s">
        <v>1241</v>
      </c>
      <c r="B450" s="9">
        <f ca="1">+IF(A450=WORLDCUP!$BI$112,1,0)</f>
        <v>0</v>
      </c>
      <c r="C450" s="9" t="str">
        <f ca="1">+WORLDCUP!BD65</f>
        <v>Saudi Arabia</v>
      </c>
      <c r="D450" s="9" t="str">
        <f ca="1">+WORLDCUP!BD63</f>
        <v>Tunisia</v>
      </c>
      <c r="E450" s="9" t="str">
        <f ca="1">+WORLDCUP!BD59</f>
        <v>Switzerland</v>
      </c>
      <c r="F450" s="9" t="str">
        <f ca="1">+WORLDCUP!BD60</f>
        <v>Scotland</v>
      </c>
      <c r="G450" s="9" t="str">
        <f ca="1">+WORLDCUP!BD58</f>
        <v>South Korea</v>
      </c>
      <c r="H450" s="9" t="str">
        <f ca="1">+WORLDCUP!BD61</f>
        <v>Australia</v>
      </c>
      <c r="I450" s="9" t="str">
        <f ca="1">+WORLDCUP!BD66</f>
        <v>Norway</v>
      </c>
      <c r="J450" s="9" t="str">
        <f ca="1">+WORLDCUP!BD68</f>
        <v>DR Congo</v>
      </c>
      <c r="N450" s="16" t="s">
        <v>1241</v>
      </c>
      <c r="O450" s="16">
        <v>449</v>
      </c>
      <c r="P450" s="16" t="s">
        <v>118</v>
      </c>
      <c r="Q450" s="16" t="s">
        <v>109</v>
      </c>
      <c r="R450" s="16" t="s">
        <v>91</v>
      </c>
      <c r="S450" s="16" t="s">
        <v>95</v>
      </c>
      <c r="T450" s="16" t="s">
        <v>86</v>
      </c>
      <c r="U450" s="16" t="s">
        <v>100</v>
      </c>
      <c r="V450" s="16" t="s">
        <v>122</v>
      </c>
      <c r="W450" s="16" t="s">
        <v>131</v>
      </c>
    </row>
    <row r="451" spans="1:23">
      <c r="A451" s="9" t="s">
        <v>1242</v>
      </c>
      <c r="B451" s="9">
        <f ca="1">+IF(A451=WORLDCUP!$BI$112,1,0)</f>
        <v>0</v>
      </c>
      <c r="C451" s="9" t="str">
        <f ca="1">+WORLDCUP!BD65</f>
        <v>Saudi Arabia</v>
      </c>
      <c r="D451" s="9" t="str">
        <f ca="1">+WORLDCUP!BD67</f>
        <v>Algeria</v>
      </c>
      <c r="E451" s="9" t="str">
        <f ca="1">+WORLDCUP!BD59</f>
        <v>Switzerland</v>
      </c>
      <c r="F451" s="9" t="str">
        <f ca="1">+WORLDCUP!BD60</f>
        <v>Scotland</v>
      </c>
      <c r="G451" s="9" t="str">
        <f ca="1">+WORLDCUP!BD58</f>
        <v>South Korea</v>
      </c>
      <c r="H451" s="9" t="str">
        <f ca="1">+WORLDCUP!BD63</f>
        <v>Tunisia</v>
      </c>
      <c r="I451" s="9" t="str">
        <f ca="1">+WORLDCUP!BD61</f>
        <v>Australia</v>
      </c>
      <c r="J451" s="9" t="str">
        <f ca="1">+WORLDCUP!BD66</f>
        <v>Norway</v>
      </c>
      <c r="N451" s="16" t="s">
        <v>1242</v>
      </c>
      <c r="O451" s="16">
        <v>450</v>
      </c>
      <c r="P451" s="16" t="s">
        <v>118</v>
      </c>
      <c r="Q451" s="16" t="s">
        <v>127</v>
      </c>
      <c r="R451" s="16" t="s">
        <v>91</v>
      </c>
      <c r="S451" s="16" t="s">
        <v>95</v>
      </c>
      <c r="T451" s="16" t="s">
        <v>86</v>
      </c>
      <c r="U451" s="16" t="s">
        <v>109</v>
      </c>
      <c r="V451" s="16" t="s">
        <v>100</v>
      </c>
      <c r="W451" s="16" t="s">
        <v>122</v>
      </c>
    </row>
    <row r="452" spans="1:23">
      <c r="A452" s="9" t="s">
        <v>1243</v>
      </c>
      <c r="B452" s="9">
        <f ca="1">+IF(A452=WORLDCUP!$BI$112,1,0)</f>
        <v>0</v>
      </c>
      <c r="C452" s="9" t="str">
        <f ca="1">+WORLDCUP!BD60</f>
        <v>Scotland</v>
      </c>
      <c r="D452" s="9" t="str">
        <f ca="1">+WORLDCUP!BD64</f>
        <v>Egypt</v>
      </c>
      <c r="E452" s="9" t="str">
        <f ca="1">+WORLDCUP!BD59</f>
        <v>Switzerland</v>
      </c>
      <c r="F452" s="9" t="str">
        <f ca="1">+WORLDCUP!BD61</f>
        <v>Australia</v>
      </c>
      <c r="G452" s="9" t="str">
        <f ca="1">+WORLDCUP!BD58</f>
        <v>South Korea</v>
      </c>
      <c r="H452" s="9" t="str">
        <f ca="1">+WORLDCUP!BD63</f>
        <v>Tunisia</v>
      </c>
      <c r="I452" s="9" t="str">
        <f ca="1">+WORLDCUP!BD69</f>
        <v>Croatia</v>
      </c>
      <c r="J452" s="9" t="str">
        <f ca="1">+WORLDCUP!BD68</f>
        <v>DR Congo</v>
      </c>
      <c r="N452" s="16" t="s">
        <v>1243</v>
      </c>
      <c r="O452" s="16">
        <v>451</v>
      </c>
      <c r="P452" s="16" t="s">
        <v>95</v>
      </c>
      <c r="Q452" s="16" t="s">
        <v>113</v>
      </c>
      <c r="R452" s="16" t="s">
        <v>91</v>
      </c>
      <c r="S452" s="16" t="s">
        <v>100</v>
      </c>
      <c r="T452" s="16" t="s">
        <v>86</v>
      </c>
      <c r="U452" s="16" t="s">
        <v>109</v>
      </c>
      <c r="V452" s="16" t="s">
        <v>136</v>
      </c>
      <c r="W452" s="16" t="s">
        <v>131</v>
      </c>
    </row>
    <row r="453" spans="1:23">
      <c r="A453" s="9" t="s">
        <v>1244</v>
      </c>
      <c r="B453" s="9">
        <f ca="1">+IF(A453=WORLDCUP!$BI$112,1,0)</f>
        <v>0</v>
      </c>
      <c r="C453" s="9" t="str">
        <f ca="1">+WORLDCUP!BD60</f>
        <v>Scotland</v>
      </c>
      <c r="D453" s="9" t="str">
        <f ca="1">+WORLDCUP!BD64</f>
        <v>Egypt</v>
      </c>
      <c r="E453" s="9" t="str">
        <f ca="1">+WORLDCUP!BD59</f>
        <v>Switzerland</v>
      </c>
      <c r="F453" s="9" t="str">
        <f ca="1">+WORLDCUP!BD61</f>
        <v>Australia</v>
      </c>
      <c r="G453" s="9" t="str">
        <f ca="1">+WORLDCUP!BD58</f>
        <v>South Korea</v>
      </c>
      <c r="H453" s="9" t="str">
        <f ca="1">+WORLDCUP!BD63</f>
        <v>Tunisia</v>
      </c>
      <c r="I453" s="9" t="str">
        <f ca="1">+WORLDCUP!BD69</f>
        <v>Croatia</v>
      </c>
      <c r="J453" s="9" t="str">
        <f ca="1">+WORLDCUP!BD67</f>
        <v>Algeria</v>
      </c>
      <c r="N453" s="16" t="s">
        <v>1244</v>
      </c>
      <c r="O453" s="16">
        <v>452</v>
      </c>
      <c r="P453" s="16" t="s">
        <v>95</v>
      </c>
      <c r="Q453" s="16" t="s">
        <v>113</v>
      </c>
      <c r="R453" s="16" t="s">
        <v>91</v>
      </c>
      <c r="S453" s="16" t="s">
        <v>100</v>
      </c>
      <c r="T453" s="16" t="s">
        <v>86</v>
      </c>
      <c r="U453" s="16" t="s">
        <v>109</v>
      </c>
      <c r="V453" s="16" t="s">
        <v>136</v>
      </c>
      <c r="W453" s="16" t="s">
        <v>127</v>
      </c>
    </row>
    <row r="454" spans="1:23">
      <c r="A454" s="9" t="s">
        <v>1245</v>
      </c>
      <c r="B454" s="9">
        <f ca="1">+IF(A454=WORLDCUP!$BI$112,1,0)</f>
        <v>0</v>
      </c>
      <c r="C454" s="9" t="str">
        <f ca="1">+WORLDCUP!BD60</f>
        <v>Scotland</v>
      </c>
      <c r="D454" s="9" t="str">
        <f ca="1">+WORLDCUP!BD64</f>
        <v>Egypt</v>
      </c>
      <c r="E454" s="9" t="str">
        <f ca="1">+WORLDCUP!BD59</f>
        <v>Switzerland</v>
      </c>
      <c r="F454" s="9" t="str">
        <f ca="1">+WORLDCUP!BD61</f>
        <v>Australia</v>
      </c>
      <c r="G454" s="9" t="str">
        <f ca="1">+WORLDCUP!BD58</f>
        <v>South Korea</v>
      </c>
      <c r="H454" s="9" t="str">
        <f ca="1">+WORLDCUP!BD63</f>
        <v>Tunisia</v>
      </c>
      <c r="I454" s="9" t="str">
        <f ca="1">+WORLDCUP!BD67</f>
        <v>Algeria</v>
      </c>
      <c r="J454" s="9" t="str">
        <f ca="1">+WORLDCUP!BD68</f>
        <v>DR Congo</v>
      </c>
      <c r="N454" s="16" t="s">
        <v>1245</v>
      </c>
      <c r="O454" s="16">
        <v>453</v>
      </c>
      <c r="P454" s="16" t="s">
        <v>95</v>
      </c>
      <c r="Q454" s="16" t="s">
        <v>113</v>
      </c>
      <c r="R454" s="16" t="s">
        <v>91</v>
      </c>
      <c r="S454" s="16" t="s">
        <v>100</v>
      </c>
      <c r="T454" s="16" t="s">
        <v>86</v>
      </c>
      <c r="U454" s="16" t="s">
        <v>109</v>
      </c>
      <c r="V454" s="16" t="s">
        <v>127</v>
      </c>
      <c r="W454" s="16" t="s">
        <v>131</v>
      </c>
    </row>
    <row r="455" spans="1:23">
      <c r="A455" s="9" t="s">
        <v>1246</v>
      </c>
      <c r="B455" s="9">
        <f ca="1">+IF(A455=WORLDCUP!$BI$112,1,0)</f>
        <v>0</v>
      </c>
      <c r="C455" s="9" t="str">
        <f ca="1">+WORLDCUP!BD60</f>
        <v>Scotland</v>
      </c>
      <c r="D455" s="9" t="str">
        <f ca="1">+WORLDCUP!BD64</f>
        <v>Egypt</v>
      </c>
      <c r="E455" s="9" t="str">
        <f ca="1">+WORLDCUP!BD59</f>
        <v>Switzerland</v>
      </c>
      <c r="F455" s="9" t="str">
        <f ca="1">+WORLDCUP!BD61</f>
        <v>Australia</v>
      </c>
      <c r="G455" s="9" t="str">
        <f ca="1">+WORLDCUP!BD58</f>
        <v>South Korea</v>
      </c>
      <c r="H455" s="9" t="str">
        <f ca="1">+WORLDCUP!BD63</f>
        <v>Tunisia</v>
      </c>
      <c r="I455" s="9" t="str">
        <f ca="1">+WORLDCUP!BD69</f>
        <v>Croatia</v>
      </c>
      <c r="J455" s="9" t="str">
        <f ca="1">+WORLDCUP!BD66</f>
        <v>Norway</v>
      </c>
      <c r="N455" s="16" t="s">
        <v>1246</v>
      </c>
      <c r="O455" s="16">
        <v>454</v>
      </c>
      <c r="P455" s="16" t="s">
        <v>95</v>
      </c>
      <c r="Q455" s="16" t="s">
        <v>113</v>
      </c>
      <c r="R455" s="16" t="s">
        <v>91</v>
      </c>
      <c r="S455" s="16" t="s">
        <v>100</v>
      </c>
      <c r="T455" s="16" t="s">
        <v>86</v>
      </c>
      <c r="U455" s="16" t="s">
        <v>109</v>
      </c>
      <c r="V455" s="16" t="s">
        <v>136</v>
      </c>
      <c r="W455" s="16" t="s">
        <v>122</v>
      </c>
    </row>
    <row r="456" spans="1:23">
      <c r="A456" s="9" t="s">
        <v>1247</v>
      </c>
      <c r="B456" s="9">
        <f ca="1">+IF(A456=WORLDCUP!$BI$112,1,0)</f>
        <v>0</v>
      </c>
      <c r="C456" s="9" t="str">
        <f ca="1">+WORLDCUP!BD60</f>
        <v>Scotland</v>
      </c>
      <c r="D456" s="9" t="str">
        <f ca="1">+WORLDCUP!BD64</f>
        <v>Egypt</v>
      </c>
      <c r="E456" s="9" t="str">
        <f ca="1">+WORLDCUP!BD59</f>
        <v>Switzerland</v>
      </c>
      <c r="F456" s="9" t="str">
        <f ca="1">+WORLDCUP!BD61</f>
        <v>Australia</v>
      </c>
      <c r="G456" s="9" t="str">
        <f ca="1">+WORLDCUP!BD58</f>
        <v>South Korea</v>
      </c>
      <c r="H456" s="9" t="str">
        <f ca="1">+WORLDCUP!BD63</f>
        <v>Tunisia</v>
      </c>
      <c r="I456" s="9" t="str">
        <f ca="1">+WORLDCUP!BD66</f>
        <v>Norway</v>
      </c>
      <c r="J456" s="9" t="str">
        <f ca="1">+WORLDCUP!BD68</f>
        <v>DR Congo</v>
      </c>
      <c r="N456" s="16" t="s">
        <v>1247</v>
      </c>
      <c r="O456" s="16">
        <v>455</v>
      </c>
      <c r="P456" s="16" t="s">
        <v>95</v>
      </c>
      <c r="Q456" s="16" t="s">
        <v>113</v>
      </c>
      <c r="R456" s="16" t="s">
        <v>91</v>
      </c>
      <c r="S456" s="16" t="s">
        <v>100</v>
      </c>
      <c r="T456" s="16" t="s">
        <v>86</v>
      </c>
      <c r="U456" s="16" t="s">
        <v>109</v>
      </c>
      <c r="V456" s="16" t="s">
        <v>122</v>
      </c>
      <c r="W456" s="16" t="s">
        <v>131</v>
      </c>
    </row>
    <row r="457" spans="1:23">
      <c r="A457" s="9" t="s">
        <v>1248</v>
      </c>
      <c r="B457" s="9">
        <f ca="1">+IF(A457=WORLDCUP!$BI$112,1,0)</f>
        <v>0</v>
      </c>
      <c r="C457" s="9" t="str">
        <f ca="1">+WORLDCUP!BD60</f>
        <v>Scotland</v>
      </c>
      <c r="D457" s="9" t="str">
        <f ca="1">+WORLDCUP!BD64</f>
        <v>Egypt</v>
      </c>
      <c r="E457" s="9" t="str">
        <f ca="1">+WORLDCUP!BD59</f>
        <v>Switzerland</v>
      </c>
      <c r="F457" s="9" t="str">
        <f ca="1">+WORLDCUP!BD61</f>
        <v>Australia</v>
      </c>
      <c r="G457" s="9" t="str">
        <f ca="1">+WORLDCUP!BD58</f>
        <v>South Korea</v>
      </c>
      <c r="H457" s="9" t="str">
        <f ca="1">+WORLDCUP!BD63</f>
        <v>Tunisia</v>
      </c>
      <c r="I457" s="9" t="str">
        <f ca="1">+WORLDCUP!BD66</f>
        <v>Norway</v>
      </c>
      <c r="J457" s="9" t="str">
        <f ca="1">+WORLDCUP!BD67</f>
        <v>Algeria</v>
      </c>
      <c r="N457" s="16" t="s">
        <v>1248</v>
      </c>
      <c r="O457" s="16">
        <v>456</v>
      </c>
      <c r="P457" s="16" t="s">
        <v>95</v>
      </c>
      <c r="Q457" s="16" t="s">
        <v>113</v>
      </c>
      <c r="R457" s="16" t="s">
        <v>91</v>
      </c>
      <c r="S457" s="16" t="s">
        <v>100</v>
      </c>
      <c r="T457" s="16" t="s">
        <v>86</v>
      </c>
      <c r="U457" s="16" t="s">
        <v>109</v>
      </c>
      <c r="V457" s="16" t="s">
        <v>122</v>
      </c>
      <c r="W457" s="16" t="s">
        <v>127</v>
      </c>
    </row>
    <row r="458" spans="1:23">
      <c r="A458" s="9" t="s">
        <v>1249</v>
      </c>
      <c r="B458" s="9">
        <f ca="1">+IF(A458=WORLDCUP!$BI$112,1,0)</f>
        <v>0</v>
      </c>
      <c r="C458" s="9" t="str">
        <f ca="1">+WORLDCUP!BD60</f>
        <v>Scotland</v>
      </c>
      <c r="D458" s="9" t="str">
        <f ca="1">+WORLDCUP!BD64</f>
        <v>Egypt</v>
      </c>
      <c r="E458" s="9" t="str">
        <f ca="1">+WORLDCUP!BD59</f>
        <v>Switzerland</v>
      </c>
      <c r="F458" s="9" t="str">
        <f ca="1">+WORLDCUP!BD61</f>
        <v>Australia</v>
      </c>
      <c r="G458" s="9" t="str">
        <f ca="1">+WORLDCUP!BD58</f>
        <v>South Korea</v>
      </c>
      <c r="H458" s="9" t="str">
        <f ca="1">+WORLDCUP!BD63</f>
        <v>Tunisia</v>
      </c>
      <c r="I458" s="9" t="str">
        <f ca="1">+WORLDCUP!BD69</f>
        <v>Croatia</v>
      </c>
      <c r="J458" s="9" t="str">
        <f ca="1">+WORLDCUP!BD65</f>
        <v>Saudi Arabia</v>
      </c>
      <c r="N458" s="16" t="s">
        <v>1249</v>
      </c>
      <c r="O458" s="16">
        <v>457</v>
      </c>
      <c r="P458" s="16" t="s">
        <v>95</v>
      </c>
      <c r="Q458" s="16" t="s">
        <v>113</v>
      </c>
      <c r="R458" s="16" t="s">
        <v>91</v>
      </c>
      <c r="S458" s="16" t="s">
        <v>100</v>
      </c>
      <c r="T458" s="16" t="s">
        <v>86</v>
      </c>
      <c r="U458" s="16" t="s">
        <v>109</v>
      </c>
      <c r="V458" s="16" t="s">
        <v>136</v>
      </c>
      <c r="W458" s="16" t="s">
        <v>118</v>
      </c>
    </row>
    <row r="459" spans="1:23">
      <c r="A459" s="9" t="s">
        <v>1250</v>
      </c>
      <c r="B459" s="9">
        <f ca="1">+IF(A459=WORLDCUP!$BI$112,1,0)</f>
        <v>0</v>
      </c>
      <c r="C459" s="9" t="str">
        <f ca="1">+WORLDCUP!BD65</f>
        <v>Saudi Arabia</v>
      </c>
      <c r="D459" s="9" t="str">
        <f ca="1">+WORLDCUP!BD64</f>
        <v>Egypt</v>
      </c>
      <c r="E459" s="9" t="str">
        <f ca="1">+WORLDCUP!BD59</f>
        <v>Switzerland</v>
      </c>
      <c r="F459" s="9" t="str">
        <f ca="1">+WORLDCUP!BD60</f>
        <v>Scotland</v>
      </c>
      <c r="G459" s="9" t="str">
        <f ca="1">+WORLDCUP!BD58</f>
        <v>South Korea</v>
      </c>
      <c r="H459" s="9" t="str">
        <f ca="1">+WORLDCUP!BD63</f>
        <v>Tunisia</v>
      </c>
      <c r="I459" s="9" t="str">
        <f ca="1">+WORLDCUP!BD61</f>
        <v>Australia</v>
      </c>
      <c r="J459" s="9" t="str">
        <f ca="1">+WORLDCUP!BD68</f>
        <v>DR Congo</v>
      </c>
      <c r="N459" s="16" t="s">
        <v>1250</v>
      </c>
      <c r="O459" s="16">
        <v>458</v>
      </c>
      <c r="P459" s="16" t="s">
        <v>118</v>
      </c>
      <c r="Q459" s="16" t="s">
        <v>113</v>
      </c>
      <c r="R459" s="16" t="s">
        <v>91</v>
      </c>
      <c r="S459" s="16" t="s">
        <v>95</v>
      </c>
      <c r="T459" s="16" t="s">
        <v>86</v>
      </c>
      <c r="U459" s="16" t="s">
        <v>109</v>
      </c>
      <c r="V459" s="16" t="s">
        <v>100</v>
      </c>
      <c r="W459" s="16" t="s">
        <v>131</v>
      </c>
    </row>
    <row r="460" spans="1:23">
      <c r="A460" s="9" t="s">
        <v>1251</v>
      </c>
      <c r="B460" s="9">
        <f ca="1">+IF(A460=WORLDCUP!$BI$112,1,0)</f>
        <v>0</v>
      </c>
      <c r="C460" s="9" t="str">
        <f ca="1">+WORLDCUP!BD65</f>
        <v>Saudi Arabia</v>
      </c>
      <c r="D460" s="9" t="str">
        <f ca="1">+WORLDCUP!BD64</f>
        <v>Egypt</v>
      </c>
      <c r="E460" s="9" t="str">
        <f ca="1">+WORLDCUP!BD59</f>
        <v>Switzerland</v>
      </c>
      <c r="F460" s="9" t="str">
        <f ca="1">+WORLDCUP!BD60</f>
        <v>Scotland</v>
      </c>
      <c r="G460" s="9" t="str">
        <f ca="1">+WORLDCUP!BD58</f>
        <v>South Korea</v>
      </c>
      <c r="H460" s="9" t="str">
        <f ca="1">+WORLDCUP!BD63</f>
        <v>Tunisia</v>
      </c>
      <c r="I460" s="9" t="str">
        <f ca="1">+WORLDCUP!BD61</f>
        <v>Australia</v>
      </c>
      <c r="J460" s="9" t="str">
        <f ca="1">+WORLDCUP!BD67</f>
        <v>Algeria</v>
      </c>
      <c r="N460" s="16" t="s">
        <v>1251</v>
      </c>
      <c r="O460" s="16">
        <v>459</v>
      </c>
      <c r="P460" s="16" t="s">
        <v>118</v>
      </c>
      <c r="Q460" s="16" t="s">
        <v>113</v>
      </c>
      <c r="R460" s="16" t="s">
        <v>91</v>
      </c>
      <c r="S460" s="16" t="s">
        <v>95</v>
      </c>
      <c r="T460" s="16" t="s">
        <v>86</v>
      </c>
      <c r="U460" s="16" t="s">
        <v>109</v>
      </c>
      <c r="V460" s="16" t="s">
        <v>100</v>
      </c>
      <c r="W460" s="16" t="s">
        <v>127</v>
      </c>
    </row>
    <row r="461" spans="1:23">
      <c r="A461" s="9" t="s">
        <v>1252</v>
      </c>
      <c r="B461" s="9">
        <f ca="1">+IF(A461=WORLDCUP!$BI$112,1,0)</f>
        <v>0</v>
      </c>
      <c r="C461" s="9" t="str">
        <f ca="1">+WORLDCUP!BD65</f>
        <v>Saudi Arabia</v>
      </c>
      <c r="D461" s="9" t="str">
        <f ca="1">+WORLDCUP!BD64</f>
        <v>Egypt</v>
      </c>
      <c r="E461" s="9" t="str">
        <f ca="1">+WORLDCUP!BD59</f>
        <v>Switzerland</v>
      </c>
      <c r="F461" s="9" t="str">
        <f ca="1">+WORLDCUP!BD60</f>
        <v>Scotland</v>
      </c>
      <c r="G461" s="9" t="str">
        <f ca="1">+WORLDCUP!BD58</f>
        <v>South Korea</v>
      </c>
      <c r="H461" s="9" t="str">
        <f ca="1">+WORLDCUP!BD63</f>
        <v>Tunisia</v>
      </c>
      <c r="I461" s="9" t="str">
        <f ca="1">+WORLDCUP!BD61</f>
        <v>Australia</v>
      </c>
      <c r="J461" s="9" t="str">
        <f ca="1">+WORLDCUP!BD66</f>
        <v>Norway</v>
      </c>
      <c r="N461" s="16" t="s">
        <v>1252</v>
      </c>
      <c r="O461" s="16">
        <v>460</v>
      </c>
      <c r="P461" s="16" t="s">
        <v>118</v>
      </c>
      <c r="Q461" s="16" t="s">
        <v>113</v>
      </c>
      <c r="R461" s="16" t="s">
        <v>91</v>
      </c>
      <c r="S461" s="16" t="s">
        <v>95</v>
      </c>
      <c r="T461" s="16" t="s">
        <v>86</v>
      </c>
      <c r="U461" s="16" t="s">
        <v>109</v>
      </c>
      <c r="V461" s="16" t="s">
        <v>100</v>
      </c>
      <c r="W461" s="16" t="s">
        <v>122</v>
      </c>
    </row>
    <row r="462" spans="1:23">
      <c r="A462" s="9" t="s">
        <v>1253</v>
      </c>
      <c r="B462" s="9">
        <f ca="1">+IF(A462=WORLDCUP!$BI$112,1,0)</f>
        <v>0</v>
      </c>
      <c r="C462" s="9" t="str">
        <f ca="1">+WORLDCUP!BD62</f>
        <v>Ivory Coast</v>
      </c>
      <c r="D462" s="9" t="str">
        <f ca="1">+WORLDCUP!BD67</f>
        <v>Algeria</v>
      </c>
      <c r="E462" s="9" t="str">
        <f ca="1">+WORLDCUP!BD59</f>
        <v>Switzerland</v>
      </c>
      <c r="F462" s="9" t="str">
        <f ca="1">+WORLDCUP!BD60</f>
        <v>Scotland</v>
      </c>
      <c r="G462" s="9" t="str">
        <f ca="1">+WORLDCUP!BD58</f>
        <v>South Korea</v>
      </c>
      <c r="H462" s="9" t="str">
        <f ca="1">+WORLDCUP!BD61</f>
        <v>Australia</v>
      </c>
      <c r="I462" s="9" t="str">
        <f ca="1">+WORLDCUP!BD69</f>
        <v>Croatia</v>
      </c>
      <c r="J462" s="9" t="str">
        <f ca="1">+WORLDCUP!BD68</f>
        <v>DR Congo</v>
      </c>
      <c r="N462" s="16" t="s">
        <v>1253</v>
      </c>
      <c r="O462" s="16">
        <v>461</v>
      </c>
      <c r="P462" s="16" t="s">
        <v>104</v>
      </c>
      <c r="Q462" s="16" t="s">
        <v>127</v>
      </c>
      <c r="R462" s="16" t="s">
        <v>91</v>
      </c>
      <c r="S462" s="16" t="s">
        <v>95</v>
      </c>
      <c r="T462" s="16" t="s">
        <v>86</v>
      </c>
      <c r="U462" s="16" t="s">
        <v>100</v>
      </c>
      <c r="V462" s="16" t="s">
        <v>136</v>
      </c>
      <c r="W462" s="16" t="s">
        <v>131</v>
      </c>
    </row>
    <row r="463" spans="1:23">
      <c r="A463" s="9" t="s">
        <v>1254</v>
      </c>
      <c r="B463" s="9">
        <f ca="1">+IF(A463=WORLDCUP!$BI$112,1,0)</f>
        <v>0</v>
      </c>
      <c r="C463" s="9" t="str">
        <f ca="1">+WORLDCUP!BD62</f>
        <v>Ivory Coast</v>
      </c>
      <c r="D463" s="9" t="str">
        <f ca="1">+WORLDCUP!BD66</f>
        <v>Norway</v>
      </c>
      <c r="E463" s="9" t="str">
        <f ca="1">+WORLDCUP!BD59</f>
        <v>Switzerland</v>
      </c>
      <c r="F463" s="9" t="str">
        <f ca="1">+WORLDCUP!BD60</f>
        <v>Scotland</v>
      </c>
      <c r="G463" s="9" t="str">
        <f ca="1">+WORLDCUP!BD58</f>
        <v>South Korea</v>
      </c>
      <c r="H463" s="9" t="str">
        <f ca="1">+WORLDCUP!BD61</f>
        <v>Australia</v>
      </c>
      <c r="I463" s="9" t="str">
        <f ca="1">+WORLDCUP!BD69</f>
        <v>Croatia</v>
      </c>
      <c r="J463" s="9" t="str">
        <f ca="1">+WORLDCUP!BD68</f>
        <v>DR Congo</v>
      </c>
      <c r="N463" s="16" t="s">
        <v>1254</v>
      </c>
      <c r="O463" s="16">
        <v>462</v>
      </c>
      <c r="P463" s="16" t="s">
        <v>104</v>
      </c>
      <c r="Q463" s="16" t="s">
        <v>122</v>
      </c>
      <c r="R463" s="16" t="s">
        <v>91</v>
      </c>
      <c r="S463" s="16" t="s">
        <v>95</v>
      </c>
      <c r="T463" s="16" t="s">
        <v>86</v>
      </c>
      <c r="U463" s="16" t="s">
        <v>100</v>
      </c>
      <c r="V463" s="16" t="s">
        <v>136</v>
      </c>
      <c r="W463" s="16" t="s">
        <v>131</v>
      </c>
    </row>
    <row r="464" spans="1:23">
      <c r="A464" s="9" t="s">
        <v>1255</v>
      </c>
      <c r="B464" s="9">
        <f ca="1">+IF(A464=WORLDCUP!$BI$112,1,0)</f>
        <v>0</v>
      </c>
      <c r="C464" s="9" t="str">
        <f ca="1">+WORLDCUP!BD62</f>
        <v>Ivory Coast</v>
      </c>
      <c r="D464" s="9" t="str">
        <f ca="1">+WORLDCUP!BD67</f>
        <v>Algeria</v>
      </c>
      <c r="E464" s="9" t="str">
        <f ca="1">+WORLDCUP!BD59</f>
        <v>Switzerland</v>
      </c>
      <c r="F464" s="9" t="str">
        <f ca="1">+WORLDCUP!BD60</f>
        <v>Scotland</v>
      </c>
      <c r="G464" s="9" t="str">
        <f ca="1">+WORLDCUP!BD58</f>
        <v>South Korea</v>
      </c>
      <c r="H464" s="9" t="str">
        <f ca="1">+WORLDCUP!BD61</f>
        <v>Australia</v>
      </c>
      <c r="I464" s="9" t="str">
        <f ca="1">+WORLDCUP!BD69</f>
        <v>Croatia</v>
      </c>
      <c r="J464" s="9" t="str">
        <f ca="1">+WORLDCUP!BD66</f>
        <v>Norway</v>
      </c>
      <c r="N464" s="16" t="s">
        <v>1255</v>
      </c>
      <c r="O464" s="16">
        <v>463</v>
      </c>
      <c r="P464" s="16" t="s">
        <v>104</v>
      </c>
      <c r="Q464" s="16" t="s">
        <v>127</v>
      </c>
      <c r="R464" s="16" t="s">
        <v>91</v>
      </c>
      <c r="S464" s="16" t="s">
        <v>95</v>
      </c>
      <c r="T464" s="16" t="s">
        <v>86</v>
      </c>
      <c r="U464" s="16" t="s">
        <v>100</v>
      </c>
      <c r="V464" s="16" t="s">
        <v>136</v>
      </c>
      <c r="W464" s="16" t="s">
        <v>122</v>
      </c>
    </row>
    <row r="465" spans="1:23">
      <c r="A465" s="9" t="s">
        <v>1256</v>
      </c>
      <c r="B465" s="9">
        <f ca="1">+IF(A465=WORLDCUP!$BI$112,1,0)</f>
        <v>0</v>
      </c>
      <c r="C465" s="9" t="str">
        <f ca="1">+WORLDCUP!BD62</f>
        <v>Ivory Coast</v>
      </c>
      <c r="D465" s="9" t="str">
        <f ca="1">+WORLDCUP!BD67</f>
        <v>Algeria</v>
      </c>
      <c r="E465" s="9" t="str">
        <f ca="1">+WORLDCUP!BD59</f>
        <v>Switzerland</v>
      </c>
      <c r="F465" s="9" t="str">
        <f ca="1">+WORLDCUP!BD60</f>
        <v>Scotland</v>
      </c>
      <c r="G465" s="9" t="str">
        <f ca="1">+WORLDCUP!BD58</f>
        <v>South Korea</v>
      </c>
      <c r="H465" s="9" t="str">
        <f ca="1">+WORLDCUP!BD61</f>
        <v>Australia</v>
      </c>
      <c r="I465" s="9" t="str">
        <f ca="1">+WORLDCUP!BD66</f>
        <v>Norway</v>
      </c>
      <c r="J465" s="9" t="str">
        <f ca="1">+WORLDCUP!BD68</f>
        <v>DR Congo</v>
      </c>
      <c r="N465" s="16" t="s">
        <v>1256</v>
      </c>
      <c r="O465" s="16">
        <v>464</v>
      </c>
      <c r="P465" s="16" t="s">
        <v>104</v>
      </c>
      <c r="Q465" s="16" t="s">
        <v>127</v>
      </c>
      <c r="R465" s="16" t="s">
        <v>91</v>
      </c>
      <c r="S465" s="16" t="s">
        <v>95</v>
      </c>
      <c r="T465" s="16" t="s">
        <v>86</v>
      </c>
      <c r="U465" s="16" t="s">
        <v>100</v>
      </c>
      <c r="V465" s="16" t="s">
        <v>122</v>
      </c>
      <c r="W465" s="16" t="s">
        <v>131</v>
      </c>
    </row>
    <row r="466" spans="1:23">
      <c r="A466" s="9" t="s">
        <v>1257</v>
      </c>
      <c r="B466" s="9">
        <f ca="1">+IF(A466=WORLDCUP!$BI$112,1,0)</f>
        <v>0</v>
      </c>
      <c r="C466" s="9" t="str">
        <f ca="1">+WORLDCUP!BD65</f>
        <v>Saudi Arabia</v>
      </c>
      <c r="D466" s="9" t="str">
        <f ca="1">+WORLDCUP!BD62</f>
        <v>Ivory Coast</v>
      </c>
      <c r="E466" s="9" t="str">
        <f ca="1">+WORLDCUP!BD59</f>
        <v>Switzerland</v>
      </c>
      <c r="F466" s="9" t="str">
        <f ca="1">+WORLDCUP!BD60</f>
        <v>Scotland</v>
      </c>
      <c r="G466" s="9" t="str">
        <f ca="1">+WORLDCUP!BD58</f>
        <v>South Korea</v>
      </c>
      <c r="H466" s="9" t="str">
        <f ca="1">+WORLDCUP!BD61</f>
        <v>Australia</v>
      </c>
      <c r="I466" s="9" t="str">
        <f ca="1">+WORLDCUP!BD69</f>
        <v>Croatia</v>
      </c>
      <c r="J466" s="9" t="str">
        <f ca="1">+WORLDCUP!BD68</f>
        <v>DR Congo</v>
      </c>
      <c r="N466" s="16" t="s">
        <v>1257</v>
      </c>
      <c r="O466" s="16">
        <v>465</v>
      </c>
      <c r="P466" s="16" t="s">
        <v>118</v>
      </c>
      <c r="Q466" s="16" t="s">
        <v>104</v>
      </c>
      <c r="R466" s="16" t="s">
        <v>91</v>
      </c>
      <c r="S466" s="16" t="s">
        <v>95</v>
      </c>
      <c r="T466" s="16" t="s">
        <v>86</v>
      </c>
      <c r="U466" s="16" t="s">
        <v>100</v>
      </c>
      <c r="V466" s="16" t="s">
        <v>136</v>
      </c>
      <c r="W466" s="16" t="s">
        <v>131</v>
      </c>
    </row>
    <row r="467" spans="1:23">
      <c r="A467" s="9" t="s">
        <v>1258</v>
      </c>
      <c r="B467" s="9">
        <f ca="1">+IF(A467=WORLDCUP!$BI$112,1,0)</f>
        <v>0</v>
      </c>
      <c r="C467" s="9" t="str">
        <f ca="1">+WORLDCUP!BD65</f>
        <v>Saudi Arabia</v>
      </c>
      <c r="D467" s="9" t="str">
        <f ca="1">+WORLDCUP!BD67</f>
        <v>Algeria</v>
      </c>
      <c r="E467" s="9" t="str">
        <f ca="1">+WORLDCUP!BD59</f>
        <v>Switzerland</v>
      </c>
      <c r="F467" s="9" t="str">
        <f ca="1">+WORLDCUP!BD60</f>
        <v>Scotland</v>
      </c>
      <c r="G467" s="9" t="str">
        <f ca="1">+WORLDCUP!BD58</f>
        <v>South Korea</v>
      </c>
      <c r="H467" s="9" t="str">
        <f ca="1">+WORLDCUP!BD61</f>
        <v>Australia</v>
      </c>
      <c r="I467" s="9" t="str">
        <f ca="1">+WORLDCUP!BD69</f>
        <v>Croatia</v>
      </c>
      <c r="J467" s="9" t="str">
        <f ca="1">+WORLDCUP!BD62</f>
        <v>Ivory Coast</v>
      </c>
      <c r="N467" s="16" t="s">
        <v>1258</v>
      </c>
      <c r="O467" s="16">
        <v>466</v>
      </c>
      <c r="P467" s="16" t="s">
        <v>118</v>
      </c>
      <c r="Q467" s="16" t="s">
        <v>127</v>
      </c>
      <c r="R467" s="16" t="s">
        <v>91</v>
      </c>
      <c r="S467" s="16" t="s">
        <v>95</v>
      </c>
      <c r="T467" s="16" t="s">
        <v>86</v>
      </c>
      <c r="U467" s="16" t="s">
        <v>100</v>
      </c>
      <c r="V467" s="16" t="s">
        <v>136</v>
      </c>
      <c r="W467" s="16" t="s">
        <v>104</v>
      </c>
    </row>
    <row r="468" spans="1:23">
      <c r="A468" s="9" t="s">
        <v>1259</v>
      </c>
      <c r="B468" s="9">
        <f ca="1">+IF(A468=WORLDCUP!$BI$112,1,0)</f>
        <v>0</v>
      </c>
      <c r="C468" s="9" t="str">
        <f ca="1">+WORLDCUP!BD65</f>
        <v>Saudi Arabia</v>
      </c>
      <c r="D468" s="9" t="str">
        <f ca="1">+WORLDCUP!BD67</f>
        <v>Algeria</v>
      </c>
      <c r="E468" s="9" t="str">
        <f ca="1">+WORLDCUP!BD59</f>
        <v>Switzerland</v>
      </c>
      <c r="F468" s="9" t="str">
        <f ca="1">+WORLDCUP!BD60</f>
        <v>Scotland</v>
      </c>
      <c r="G468" s="9" t="str">
        <f ca="1">+WORLDCUP!BD58</f>
        <v>South Korea</v>
      </c>
      <c r="H468" s="9" t="str">
        <f ca="1">+WORLDCUP!BD61</f>
        <v>Australia</v>
      </c>
      <c r="I468" s="9" t="str">
        <f ca="1">+WORLDCUP!BD62</f>
        <v>Ivory Coast</v>
      </c>
      <c r="J468" s="9" t="str">
        <f ca="1">+WORLDCUP!BD68</f>
        <v>DR Congo</v>
      </c>
      <c r="N468" s="16" t="s">
        <v>1259</v>
      </c>
      <c r="O468" s="16">
        <v>467</v>
      </c>
      <c r="P468" s="16" t="s">
        <v>118</v>
      </c>
      <c r="Q468" s="16" t="s">
        <v>127</v>
      </c>
      <c r="R468" s="16" t="s">
        <v>91</v>
      </c>
      <c r="S468" s="16" t="s">
        <v>95</v>
      </c>
      <c r="T468" s="16" t="s">
        <v>86</v>
      </c>
      <c r="U468" s="16" t="s">
        <v>100</v>
      </c>
      <c r="V468" s="16" t="s">
        <v>104</v>
      </c>
      <c r="W468" s="16" t="s">
        <v>131</v>
      </c>
    </row>
    <row r="469" spans="1:23">
      <c r="A469" s="9" t="s">
        <v>1260</v>
      </c>
      <c r="B469" s="9">
        <f ca="1">+IF(A469=WORLDCUP!$BI$112,1,0)</f>
        <v>0</v>
      </c>
      <c r="C469" s="9" t="str">
        <f ca="1">+WORLDCUP!BD65</f>
        <v>Saudi Arabia</v>
      </c>
      <c r="D469" s="9" t="str">
        <f ca="1">+WORLDCUP!BD62</f>
        <v>Ivory Coast</v>
      </c>
      <c r="E469" s="9" t="str">
        <f ca="1">+WORLDCUP!BD59</f>
        <v>Switzerland</v>
      </c>
      <c r="F469" s="9" t="str">
        <f ca="1">+WORLDCUP!BD60</f>
        <v>Scotland</v>
      </c>
      <c r="G469" s="9" t="str">
        <f ca="1">+WORLDCUP!BD58</f>
        <v>South Korea</v>
      </c>
      <c r="H469" s="9" t="str">
        <f ca="1">+WORLDCUP!BD61</f>
        <v>Australia</v>
      </c>
      <c r="I469" s="9" t="str">
        <f ca="1">+WORLDCUP!BD69</f>
        <v>Croatia</v>
      </c>
      <c r="J469" s="9" t="str">
        <f ca="1">+WORLDCUP!BD66</f>
        <v>Norway</v>
      </c>
      <c r="N469" s="16" t="s">
        <v>1260</v>
      </c>
      <c r="O469" s="16">
        <v>468</v>
      </c>
      <c r="P469" s="16" t="s">
        <v>118</v>
      </c>
      <c r="Q469" s="16" t="s">
        <v>104</v>
      </c>
      <c r="R469" s="16" t="s">
        <v>91</v>
      </c>
      <c r="S469" s="16" t="s">
        <v>95</v>
      </c>
      <c r="T469" s="16" t="s">
        <v>86</v>
      </c>
      <c r="U469" s="16" t="s">
        <v>100</v>
      </c>
      <c r="V469" s="16" t="s">
        <v>136</v>
      </c>
      <c r="W469" s="16" t="s">
        <v>122</v>
      </c>
    </row>
    <row r="470" spans="1:23">
      <c r="A470" s="9" t="s">
        <v>1261</v>
      </c>
      <c r="B470" s="9">
        <f ca="1">+IF(A470=WORLDCUP!$BI$112,1,0)</f>
        <v>0</v>
      </c>
      <c r="C470" s="9" t="str">
        <f ca="1">+WORLDCUP!BD65</f>
        <v>Saudi Arabia</v>
      </c>
      <c r="D470" s="9" t="str">
        <f ca="1">+WORLDCUP!BD62</f>
        <v>Ivory Coast</v>
      </c>
      <c r="E470" s="9" t="str">
        <f ca="1">+WORLDCUP!BD59</f>
        <v>Switzerland</v>
      </c>
      <c r="F470" s="9" t="str">
        <f ca="1">+WORLDCUP!BD60</f>
        <v>Scotland</v>
      </c>
      <c r="G470" s="9" t="str">
        <f ca="1">+WORLDCUP!BD58</f>
        <v>South Korea</v>
      </c>
      <c r="H470" s="9" t="str">
        <f ca="1">+WORLDCUP!BD61</f>
        <v>Australia</v>
      </c>
      <c r="I470" s="9" t="str">
        <f ca="1">+WORLDCUP!BD66</f>
        <v>Norway</v>
      </c>
      <c r="J470" s="9" t="str">
        <f ca="1">+WORLDCUP!BD68</f>
        <v>DR Congo</v>
      </c>
      <c r="N470" s="16" t="s">
        <v>1261</v>
      </c>
      <c r="O470" s="16">
        <v>469</v>
      </c>
      <c r="P470" s="16" t="s">
        <v>118</v>
      </c>
      <c r="Q470" s="16" t="s">
        <v>104</v>
      </c>
      <c r="R470" s="16" t="s">
        <v>91</v>
      </c>
      <c r="S470" s="16" t="s">
        <v>95</v>
      </c>
      <c r="T470" s="16" t="s">
        <v>86</v>
      </c>
      <c r="U470" s="16" t="s">
        <v>100</v>
      </c>
      <c r="V470" s="16" t="s">
        <v>122</v>
      </c>
      <c r="W470" s="16" t="s">
        <v>131</v>
      </c>
    </row>
    <row r="471" spans="1:23">
      <c r="A471" s="9" t="s">
        <v>1262</v>
      </c>
      <c r="B471" s="9">
        <f ca="1">+IF(A471=WORLDCUP!$BI$112,1,0)</f>
        <v>0</v>
      </c>
      <c r="C471" s="9" t="str">
        <f ca="1">+WORLDCUP!BD65</f>
        <v>Saudi Arabia</v>
      </c>
      <c r="D471" s="9" t="str">
        <f ca="1">+WORLDCUP!BD67</f>
        <v>Algeria</v>
      </c>
      <c r="E471" s="9" t="str">
        <f ca="1">+WORLDCUP!BD59</f>
        <v>Switzerland</v>
      </c>
      <c r="F471" s="9" t="str">
        <f ca="1">+WORLDCUP!BD60</f>
        <v>Scotland</v>
      </c>
      <c r="G471" s="9" t="str">
        <f ca="1">+WORLDCUP!BD58</f>
        <v>South Korea</v>
      </c>
      <c r="H471" s="9" t="str">
        <f ca="1">+WORLDCUP!BD61</f>
        <v>Australia</v>
      </c>
      <c r="I471" s="9" t="str">
        <f ca="1">+WORLDCUP!BD62</f>
        <v>Ivory Coast</v>
      </c>
      <c r="J471" s="9" t="str">
        <f ca="1">+WORLDCUP!BD66</f>
        <v>Norway</v>
      </c>
      <c r="N471" s="16" t="s">
        <v>1262</v>
      </c>
      <c r="O471" s="16">
        <v>470</v>
      </c>
      <c r="P471" s="16" t="s">
        <v>118</v>
      </c>
      <c r="Q471" s="16" t="s">
        <v>127</v>
      </c>
      <c r="R471" s="16" t="s">
        <v>91</v>
      </c>
      <c r="S471" s="16" t="s">
        <v>95</v>
      </c>
      <c r="T471" s="16" t="s">
        <v>86</v>
      </c>
      <c r="U471" s="16" t="s">
        <v>100</v>
      </c>
      <c r="V471" s="16" t="s">
        <v>104</v>
      </c>
      <c r="W471" s="16" t="s">
        <v>122</v>
      </c>
    </row>
    <row r="472" spans="1:23">
      <c r="A472" s="9" t="s">
        <v>1263</v>
      </c>
      <c r="B472" s="9">
        <f ca="1">+IF(A472=WORLDCUP!$BI$112,1,0)</f>
        <v>0</v>
      </c>
      <c r="C472" s="9" t="str">
        <f ca="1">+WORLDCUP!BD62</f>
        <v>Ivory Coast</v>
      </c>
      <c r="D472" s="9" t="str">
        <f ca="1">+WORLDCUP!BD64</f>
        <v>Egypt</v>
      </c>
      <c r="E472" s="9" t="str">
        <f ca="1">+WORLDCUP!BD59</f>
        <v>Switzerland</v>
      </c>
      <c r="F472" s="9" t="str">
        <f ca="1">+WORLDCUP!BD60</f>
        <v>Scotland</v>
      </c>
      <c r="G472" s="9" t="str">
        <f ca="1">+WORLDCUP!BD58</f>
        <v>South Korea</v>
      </c>
      <c r="H472" s="9" t="str">
        <f ca="1">+WORLDCUP!BD61</f>
        <v>Australia</v>
      </c>
      <c r="I472" s="9" t="str">
        <f ca="1">+WORLDCUP!BD69</f>
        <v>Croatia</v>
      </c>
      <c r="J472" s="9" t="str">
        <f ca="1">+WORLDCUP!BD68</f>
        <v>DR Congo</v>
      </c>
      <c r="N472" s="16" t="s">
        <v>1263</v>
      </c>
      <c r="O472" s="16">
        <v>471</v>
      </c>
      <c r="P472" s="16" t="s">
        <v>104</v>
      </c>
      <c r="Q472" s="16" t="s">
        <v>113</v>
      </c>
      <c r="R472" s="16" t="s">
        <v>91</v>
      </c>
      <c r="S472" s="16" t="s">
        <v>95</v>
      </c>
      <c r="T472" s="16" t="s">
        <v>86</v>
      </c>
      <c r="U472" s="16" t="s">
        <v>100</v>
      </c>
      <c r="V472" s="16" t="s">
        <v>136</v>
      </c>
      <c r="W472" s="16" t="s">
        <v>131</v>
      </c>
    </row>
    <row r="473" spans="1:23">
      <c r="A473" s="9" t="s">
        <v>1264</v>
      </c>
      <c r="B473" s="9">
        <f ca="1">+IF(A473=WORLDCUP!$BI$112,1,0)</f>
        <v>0</v>
      </c>
      <c r="C473" s="9" t="str">
        <f ca="1">+WORLDCUP!BD62</f>
        <v>Ivory Coast</v>
      </c>
      <c r="D473" s="9" t="str">
        <f ca="1">+WORLDCUP!BD64</f>
        <v>Egypt</v>
      </c>
      <c r="E473" s="9" t="str">
        <f ca="1">+WORLDCUP!BD59</f>
        <v>Switzerland</v>
      </c>
      <c r="F473" s="9" t="str">
        <f ca="1">+WORLDCUP!BD60</f>
        <v>Scotland</v>
      </c>
      <c r="G473" s="9" t="str">
        <f ca="1">+WORLDCUP!BD58</f>
        <v>South Korea</v>
      </c>
      <c r="H473" s="9" t="str">
        <f ca="1">+WORLDCUP!BD61</f>
        <v>Australia</v>
      </c>
      <c r="I473" s="9" t="str">
        <f ca="1">+WORLDCUP!BD69</f>
        <v>Croatia</v>
      </c>
      <c r="J473" s="9" t="str">
        <f ca="1">+WORLDCUP!BD67</f>
        <v>Algeria</v>
      </c>
      <c r="N473" s="16" t="s">
        <v>1264</v>
      </c>
      <c r="O473" s="16">
        <v>472</v>
      </c>
      <c r="P473" s="16" t="s">
        <v>104</v>
      </c>
      <c r="Q473" s="16" t="s">
        <v>113</v>
      </c>
      <c r="R473" s="16" t="s">
        <v>91</v>
      </c>
      <c r="S473" s="16" t="s">
        <v>95</v>
      </c>
      <c r="T473" s="16" t="s">
        <v>86</v>
      </c>
      <c r="U473" s="16" t="s">
        <v>100</v>
      </c>
      <c r="V473" s="16" t="s">
        <v>136</v>
      </c>
      <c r="W473" s="16" t="s">
        <v>127</v>
      </c>
    </row>
    <row r="474" spans="1:23">
      <c r="A474" s="9" t="s">
        <v>1265</v>
      </c>
      <c r="B474" s="9">
        <f ca="1">+IF(A474=WORLDCUP!$BI$112,1,0)</f>
        <v>0</v>
      </c>
      <c r="C474" s="9" t="str">
        <f ca="1">+WORLDCUP!BD62</f>
        <v>Ivory Coast</v>
      </c>
      <c r="D474" s="9" t="str">
        <f ca="1">+WORLDCUP!BD64</f>
        <v>Egypt</v>
      </c>
      <c r="E474" s="9" t="str">
        <f ca="1">+WORLDCUP!BD59</f>
        <v>Switzerland</v>
      </c>
      <c r="F474" s="9" t="str">
        <f ca="1">+WORLDCUP!BD60</f>
        <v>Scotland</v>
      </c>
      <c r="G474" s="9" t="str">
        <f ca="1">+WORLDCUP!BD58</f>
        <v>South Korea</v>
      </c>
      <c r="H474" s="9" t="str">
        <f ca="1">+WORLDCUP!BD61</f>
        <v>Australia</v>
      </c>
      <c r="I474" s="9" t="str">
        <f ca="1">+WORLDCUP!BD67</f>
        <v>Algeria</v>
      </c>
      <c r="J474" s="9" t="str">
        <f ca="1">+WORLDCUP!BD68</f>
        <v>DR Congo</v>
      </c>
      <c r="N474" s="16" t="s">
        <v>1265</v>
      </c>
      <c r="O474" s="16">
        <v>473</v>
      </c>
      <c r="P474" s="16" t="s">
        <v>104</v>
      </c>
      <c r="Q474" s="16" t="s">
        <v>113</v>
      </c>
      <c r="R474" s="16" t="s">
        <v>91</v>
      </c>
      <c r="S474" s="16" t="s">
        <v>95</v>
      </c>
      <c r="T474" s="16" t="s">
        <v>86</v>
      </c>
      <c r="U474" s="16" t="s">
        <v>100</v>
      </c>
      <c r="V474" s="16" t="s">
        <v>127</v>
      </c>
      <c r="W474" s="16" t="s">
        <v>131</v>
      </c>
    </row>
    <row r="475" spans="1:23">
      <c r="A475" s="9" t="s">
        <v>1266</v>
      </c>
      <c r="B475" s="9">
        <f ca="1">+IF(A475=WORLDCUP!$BI$112,1,0)</f>
        <v>0</v>
      </c>
      <c r="C475" s="9" t="str">
        <f ca="1">+WORLDCUP!BD62</f>
        <v>Ivory Coast</v>
      </c>
      <c r="D475" s="9" t="str">
        <f ca="1">+WORLDCUP!BD64</f>
        <v>Egypt</v>
      </c>
      <c r="E475" s="9" t="str">
        <f ca="1">+WORLDCUP!BD59</f>
        <v>Switzerland</v>
      </c>
      <c r="F475" s="9" t="str">
        <f ca="1">+WORLDCUP!BD60</f>
        <v>Scotland</v>
      </c>
      <c r="G475" s="9" t="str">
        <f ca="1">+WORLDCUP!BD58</f>
        <v>South Korea</v>
      </c>
      <c r="H475" s="9" t="str">
        <f ca="1">+WORLDCUP!BD61</f>
        <v>Australia</v>
      </c>
      <c r="I475" s="9" t="str">
        <f ca="1">+WORLDCUP!BD69</f>
        <v>Croatia</v>
      </c>
      <c r="J475" s="9" t="str">
        <f ca="1">+WORLDCUP!BD66</f>
        <v>Norway</v>
      </c>
      <c r="N475" s="16" t="s">
        <v>1266</v>
      </c>
      <c r="O475" s="16">
        <v>474</v>
      </c>
      <c r="P475" s="16" t="s">
        <v>104</v>
      </c>
      <c r="Q475" s="16" t="s">
        <v>113</v>
      </c>
      <c r="R475" s="16" t="s">
        <v>91</v>
      </c>
      <c r="S475" s="16" t="s">
        <v>95</v>
      </c>
      <c r="T475" s="16" t="s">
        <v>86</v>
      </c>
      <c r="U475" s="16" t="s">
        <v>100</v>
      </c>
      <c r="V475" s="16" t="s">
        <v>136</v>
      </c>
      <c r="W475" s="16" t="s">
        <v>122</v>
      </c>
    </row>
    <row r="476" spans="1:23">
      <c r="A476" s="9" t="s">
        <v>1267</v>
      </c>
      <c r="B476" s="9">
        <f ca="1">+IF(A476=WORLDCUP!$BI$112,1,0)</f>
        <v>0</v>
      </c>
      <c r="C476" s="9" t="str">
        <f ca="1">+WORLDCUP!BD62</f>
        <v>Ivory Coast</v>
      </c>
      <c r="D476" s="9" t="str">
        <f ca="1">+WORLDCUP!BD64</f>
        <v>Egypt</v>
      </c>
      <c r="E476" s="9" t="str">
        <f ca="1">+WORLDCUP!BD59</f>
        <v>Switzerland</v>
      </c>
      <c r="F476" s="9" t="str">
        <f ca="1">+WORLDCUP!BD60</f>
        <v>Scotland</v>
      </c>
      <c r="G476" s="9" t="str">
        <f ca="1">+WORLDCUP!BD58</f>
        <v>South Korea</v>
      </c>
      <c r="H476" s="9" t="str">
        <f ca="1">+WORLDCUP!BD61</f>
        <v>Australia</v>
      </c>
      <c r="I476" s="9" t="str">
        <f ca="1">+WORLDCUP!BD66</f>
        <v>Norway</v>
      </c>
      <c r="J476" s="9" t="str">
        <f ca="1">+WORLDCUP!BD68</f>
        <v>DR Congo</v>
      </c>
      <c r="N476" s="16" t="s">
        <v>1267</v>
      </c>
      <c r="O476" s="16">
        <v>475</v>
      </c>
      <c r="P476" s="16" t="s">
        <v>104</v>
      </c>
      <c r="Q476" s="16" t="s">
        <v>113</v>
      </c>
      <c r="R476" s="16" t="s">
        <v>91</v>
      </c>
      <c r="S476" s="16" t="s">
        <v>95</v>
      </c>
      <c r="T476" s="16" t="s">
        <v>86</v>
      </c>
      <c r="U476" s="16" t="s">
        <v>100</v>
      </c>
      <c r="V476" s="16" t="s">
        <v>122</v>
      </c>
      <c r="W476" s="16" t="s">
        <v>131</v>
      </c>
    </row>
    <row r="477" spans="1:23">
      <c r="A477" s="9" t="s">
        <v>1268</v>
      </c>
      <c r="B477" s="9">
        <f ca="1">+IF(A477=WORLDCUP!$BI$112,1,0)</f>
        <v>0</v>
      </c>
      <c r="C477" s="9" t="str">
        <f ca="1">+WORLDCUP!BD62</f>
        <v>Ivory Coast</v>
      </c>
      <c r="D477" s="9" t="str">
        <f ca="1">+WORLDCUP!BD64</f>
        <v>Egypt</v>
      </c>
      <c r="E477" s="9" t="str">
        <f ca="1">+WORLDCUP!BD59</f>
        <v>Switzerland</v>
      </c>
      <c r="F477" s="9" t="str">
        <f ca="1">+WORLDCUP!BD60</f>
        <v>Scotland</v>
      </c>
      <c r="G477" s="9" t="str">
        <f ca="1">+WORLDCUP!BD58</f>
        <v>South Korea</v>
      </c>
      <c r="H477" s="9" t="str">
        <f ca="1">+WORLDCUP!BD61</f>
        <v>Australia</v>
      </c>
      <c r="I477" s="9" t="str">
        <f ca="1">+WORLDCUP!BD66</f>
        <v>Norway</v>
      </c>
      <c r="J477" s="9" t="str">
        <f ca="1">+WORLDCUP!BD67</f>
        <v>Algeria</v>
      </c>
      <c r="N477" s="16" t="s">
        <v>1268</v>
      </c>
      <c r="O477" s="16">
        <v>476</v>
      </c>
      <c r="P477" s="16" t="s">
        <v>104</v>
      </c>
      <c r="Q477" s="16" t="s">
        <v>113</v>
      </c>
      <c r="R477" s="16" t="s">
        <v>91</v>
      </c>
      <c r="S477" s="16" t="s">
        <v>95</v>
      </c>
      <c r="T477" s="16" t="s">
        <v>86</v>
      </c>
      <c r="U477" s="16" t="s">
        <v>100</v>
      </c>
      <c r="V477" s="16" t="s">
        <v>122</v>
      </c>
      <c r="W477" s="16" t="s">
        <v>127</v>
      </c>
    </row>
    <row r="478" spans="1:23">
      <c r="A478" s="9" t="s">
        <v>1269</v>
      </c>
      <c r="B478" s="9">
        <f ca="1">+IF(A478=WORLDCUP!$BI$112,1,0)</f>
        <v>0</v>
      </c>
      <c r="C478" s="9" t="str">
        <f ca="1">+WORLDCUP!BD65</f>
        <v>Saudi Arabia</v>
      </c>
      <c r="D478" s="9" t="str">
        <f ca="1">+WORLDCUP!BD64</f>
        <v>Egypt</v>
      </c>
      <c r="E478" s="9" t="str">
        <f ca="1">+WORLDCUP!BD59</f>
        <v>Switzerland</v>
      </c>
      <c r="F478" s="9" t="str">
        <f ca="1">+WORLDCUP!BD60</f>
        <v>Scotland</v>
      </c>
      <c r="G478" s="9" t="str">
        <f ca="1">+WORLDCUP!BD58</f>
        <v>South Korea</v>
      </c>
      <c r="H478" s="9" t="str">
        <f ca="1">+WORLDCUP!BD61</f>
        <v>Australia</v>
      </c>
      <c r="I478" s="9" t="str">
        <f ca="1">+WORLDCUP!BD69</f>
        <v>Croatia</v>
      </c>
      <c r="J478" s="9" t="str">
        <f ca="1">+WORLDCUP!BD62</f>
        <v>Ivory Coast</v>
      </c>
      <c r="N478" s="16" t="s">
        <v>1269</v>
      </c>
      <c r="O478" s="16">
        <v>477</v>
      </c>
      <c r="P478" s="16" t="s">
        <v>118</v>
      </c>
      <c r="Q478" s="16" t="s">
        <v>113</v>
      </c>
      <c r="R478" s="16" t="s">
        <v>91</v>
      </c>
      <c r="S478" s="16" t="s">
        <v>95</v>
      </c>
      <c r="T478" s="16" t="s">
        <v>86</v>
      </c>
      <c r="U478" s="16" t="s">
        <v>100</v>
      </c>
      <c r="V478" s="16" t="s">
        <v>136</v>
      </c>
      <c r="W478" s="16" t="s">
        <v>104</v>
      </c>
    </row>
    <row r="479" spans="1:23">
      <c r="A479" s="9" t="s">
        <v>1270</v>
      </c>
      <c r="B479" s="9">
        <f ca="1">+IF(A479=WORLDCUP!$BI$112,1,0)</f>
        <v>0</v>
      </c>
      <c r="C479" s="9" t="str">
        <f ca="1">+WORLDCUP!BD65</f>
        <v>Saudi Arabia</v>
      </c>
      <c r="D479" s="9" t="str">
        <f ca="1">+WORLDCUP!BD64</f>
        <v>Egypt</v>
      </c>
      <c r="E479" s="9" t="str">
        <f ca="1">+WORLDCUP!BD59</f>
        <v>Switzerland</v>
      </c>
      <c r="F479" s="9" t="str">
        <f ca="1">+WORLDCUP!BD60</f>
        <v>Scotland</v>
      </c>
      <c r="G479" s="9" t="str">
        <f ca="1">+WORLDCUP!BD58</f>
        <v>South Korea</v>
      </c>
      <c r="H479" s="9" t="str">
        <f ca="1">+WORLDCUP!BD61</f>
        <v>Australia</v>
      </c>
      <c r="I479" s="9" t="str">
        <f ca="1">+WORLDCUP!BD62</f>
        <v>Ivory Coast</v>
      </c>
      <c r="J479" s="9" t="str">
        <f ca="1">+WORLDCUP!BD68</f>
        <v>DR Congo</v>
      </c>
      <c r="N479" s="16" t="s">
        <v>1270</v>
      </c>
      <c r="O479" s="16">
        <v>478</v>
      </c>
      <c r="P479" s="16" t="s">
        <v>118</v>
      </c>
      <c r="Q479" s="16" t="s">
        <v>113</v>
      </c>
      <c r="R479" s="16" t="s">
        <v>91</v>
      </c>
      <c r="S479" s="16" t="s">
        <v>95</v>
      </c>
      <c r="T479" s="16" t="s">
        <v>86</v>
      </c>
      <c r="U479" s="16" t="s">
        <v>100</v>
      </c>
      <c r="V479" s="16" t="s">
        <v>104</v>
      </c>
      <c r="W479" s="16" t="s">
        <v>131</v>
      </c>
    </row>
    <row r="480" spans="1:23">
      <c r="A480" s="9" t="s">
        <v>1271</v>
      </c>
      <c r="B480" s="9">
        <f ca="1">+IF(A480=WORLDCUP!$BI$112,1,0)</f>
        <v>0</v>
      </c>
      <c r="C480" s="9" t="str">
        <f ca="1">+WORLDCUP!BD65</f>
        <v>Saudi Arabia</v>
      </c>
      <c r="D480" s="9" t="str">
        <f ca="1">+WORLDCUP!BD64</f>
        <v>Egypt</v>
      </c>
      <c r="E480" s="9" t="str">
        <f ca="1">+WORLDCUP!BD59</f>
        <v>Switzerland</v>
      </c>
      <c r="F480" s="9" t="str">
        <f ca="1">+WORLDCUP!BD60</f>
        <v>Scotland</v>
      </c>
      <c r="G480" s="9" t="str">
        <f ca="1">+WORLDCUP!BD58</f>
        <v>South Korea</v>
      </c>
      <c r="H480" s="9" t="str">
        <f ca="1">+WORLDCUP!BD61</f>
        <v>Australia</v>
      </c>
      <c r="I480" s="9" t="str">
        <f ca="1">+WORLDCUP!BD62</f>
        <v>Ivory Coast</v>
      </c>
      <c r="J480" s="9" t="str">
        <f ca="1">+WORLDCUP!BD67</f>
        <v>Algeria</v>
      </c>
      <c r="N480" s="16" t="s">
        <v>1271</v>
      </c>
      <c r="O480" s="16">
        <v>479</v>
      </c>
      <c r="P480" s="16" t="s">
        <v>118</v>
      </c>
      <c r="Q480" s="16" t="s">
        <v>113</v>
      </c>
      <c r="R480" s="16" t="s">
        <v>91</v>
      </c>
      <c r="S480" s="16" t="s">
        <v>95</v>
      </c>
      <c r="T480" s="16" t="s">
        <v>86</v>
      </c>
      <c r="U480" s="16" t="s">
        <v>100</v>
      </c>
      <c r="V480" s="16" t="s">
        <v>104</v>
      </c>
      <c r="W480" s="16" t="s">
        <v>127</v>
      </c>
    </row>
    <row r="481" spans="1:23">
      <c r="A481" s="9" t="s">
        <v>1272</v>
      </c>
      <c r="B481" s="9">
        <f ca="1">+IF(A481=WORLDCUP!$BI$112,1,0)</f>
        <v>0</v>
      </c>
      <c r="C481" s="9" t="str">
        <f ca="1">+WORLDCUP!BD65</f>
        <v>Saudi Arabia</v>
      </c>
      <c r="D481" s="9" t="str">
        <f ca="1">+WORLDCUP!BD64</f>
        <v>Egypt</v>
      </c>
      <c r="E481" s="9" t="str">
        <f ca="1">+WORLDCUP!BD59</f>
        <v>Switzerland</v>
      </c>
      <c r="F481" s="9" t="str">
        <f ca="1">+WORLDCUP!BD60</f>
        <v>Scotland</v>
      </c>
      <c r="G481" s="9" t="str">
        <f ca="1">+WORLDCUP!BD58</f>
        <v>South Korea</v>
      </c>
      <c r="H481" s="9" t="str">
        <f ca="1">+WORLDCUP!BD61</f>
        <v>Australia</v>
      </c>
      <c r="I481" s="9" t="str">
        <f ca="1">+WORLDCUP!BD62</f>
        <v>Ivory Coast</v>
      </c>
      <c r="J481" s="9" t="str">
        <f ca="1">+WORLDCUP!BD66</f>
        <v>Norway</v>
      </c>
      <c r="N481" s="16" t="s">
        <v>1272</v>
      </c>
      <c r="O481" s="16">
        <v>480</v>
      </c>
      <c r="P481" s="16" t="s">
        <v>118</v>
      </c>
      <c r="Q481" s="16" t="s">
        <v>113</v>
      </c>
      <c r="R481" s="16" t="s">
        <v>91</v>
      </c>
      <c r="S481" s="16" t="s">
        <v>95</v>
      </c>
      <c r="T481" s="16" t="s">
        <v>86</v>
      </c>
      <c r="U481" s="16" t="s">
        <v>100</v>
      </c>
      <c r="V481" s="16" t="s">
        <v>104</v>
      </c>
      <c r="W481" s="16" t="s">
        <v>122</v>
      </c>
    </row>
    <row r="482" spans="1:23">
      <c r="A482" s="9" t="s">
        <v>1273</v>
      </c>
      <c r="B482" s="9">
        <f ca="1">+IF(A482=WORLDCUP!$BI$112,1,0)</f>
        <v>0</v>
      </c>
      <c r="C482" s="9" t="str">
        <f ca="1">+WORLDCUP!BD60</f>
        <v>Scotland</v>
      </c>
      <c r="D482" s="9" t="str">
        <f ca="1">+WORLDCUP!BD62</f>
        <v>Ivory Coast</v>
      </c>
      <c r="E482" s="9" t="str">
        <f ca="1">+WORLDCUP!BD59</f>
        <v>Switzerland</v>
      </c>
      <c r="F482" s="9" t="str">
        <f ca="1">+WORLDCUP!BD61</f>
        <v>Australia</v>
      </c>
      <c r="G482" s="9" t="str">
        <f ca="1">+WORLDCUP!BD58</f>
        <v>South Korea</v>
      </c>
      <c r="H482" s="9" t="str">
        <f ca="1">+WORLDCUP!BD63</f>
        <v>Tunisia</v>
      </c>
      <c r="I482" s="9" t="str">
        <f ca="1">+WORLDCUP!BD69</f>
        <v>Croatia</v>
      </c>
      <c r="J482" s="9" t="str">
        <f ca="1">+WORLDCUP!BD68</f>
        <v>DR Congo</v>
      </c>
      <c r="N482" s="16" t="s">
        <v>1273</v>
      </c>
      <c r="O482" s="16">
        <v>481</v>
      </c>
      <c r="P482" s="16" t="s">
        <v>95</v>
      </c>
      <c r="Q482" s="16" t="s">
        <v>104</v>
      </c>
      <c r="R482" s="16" t="s">
        <v>91</v>
      </c>
      <c r="S482" s="16" t="s">
        <v>100</v>
      </c>
      <c r="T482" s="16" t="s">
        <v>86</v>
      </c>
      <c r="U482" s="16" t="s">
        <v>109</v>
      </c>
      <c r="V482" s="16" t="s">
        <v>136</v>
      </c>
      <c r="W482" s="16" t="s">
        <v>131</v>
      </c>
    </row>
    <row r="483" spans="1:23">
      <c r="A483" s="9" t="s">
        <v>1274</v>
      </c>
      <c r="B483" s="9">
        <f ca="1">+IF(A483=WORLDCUP!$BI$112,1,0)</f>
        <v>0</v>
      </c>
      <c r="C483" s="9" t="str">
        <f ca="1">+WORLDCUP!BD60</f>
        <v>Scotland</v>
      </c>
      <c r="D483" s="9" t="str">
        <f ca="1">+WORLDCUP!BD67</f>
        <v>Algeria</v>
      </c>
      <c r="E483" s="9" t="str">
        <f ca="1">+WORLDCUP!BD59</f>
        <v>Switzerland</v>
      </c>
      <c r="F483" s="9" t="str">
        <f ca="1">+WORLDCUP!BD61</f>
        <v>Australia</v>
      </c>
      <c r="G483" s="9" t="str">
        <f ca="1">+WORLDCUP!BD58</f>
        <v>South Korea</v>
      </c>
      <c r="H483" s="9" t="str">
        <f ca="1">+WORLDCUP!BD63</f>
        <v>Tunisia</v>
      </c>
      <c r="I483" s="9" t="str">
        <f ca="1">+WORLDCUP!BD69</f>
        <v>Croatia</v>
      </c>
      <c r="J483" s="9" t="str">
        <f ca="1">+WORLDCUP!BD62</f>
        <v>Ivory Coast</v>
      </c>
      <c r="N483" s="16" t="s">
        <v>1274</v>
      </c>
      <c r="O483" s="16">
        <v>482</v>
      </c>
      <c r="P483" s="16" t="s">
        <v>95</v>
      </c>
      <c r="Q483" s="16" t="s">
        <v>127</v>
      </c>
      <c r="R483" s="16" t="s">
        <v>91</v>
      </c>
      <c r="S483" s="16" t="s">
        <v>100</v>
      </c>
      <c r="T483" s="16" t="s">
        <v>86</v>
      </c>
      <c r="U483" s="16" t="s">
        <v>109</v>
      </c>
      <c r="V483" s="16" t="s">
        <v>136</v>
      </c>
      <c r="W483" s="16" t="s">
        <v>104</v>
      </c>
    </row>
    <row r="484" spans="1:23">
      <c r="A484" s="9" t="s">
        <v>1275</v>
      </c>
      <c r="B484" s="9">
        <f ca="1">+IF(A484=WORLDCUP!$BI$112,1,0)</f>
        <v>0</v>
      </c>
      <c r="C484" s="9" t="str">
        <f ca="1">+WORLDCUP!BD60</f>
        <v>Scotland</v>
      </c>
      <c r="D484" s="9" t="str">
        <f ca="1">+WORLDCUP!BD67</f>
        <v>Algeria</v>
      </c>
      <c r="E484" s="9" t="str">
        <f ca="1">+WORLDCUP!BD59</f>
        <v>Switzerland</v>
      </c>
      <c r="F484" s="9" t="str">
        <f ca="1">+WORLDCUP!BD61</f>
        <v>Australia</v>
      </c>
      <c r="G484" s="9" t="str">
        <f ca="1">+WORLDCUP!BD58</f>
        <v>South Korea</v>
      </c>
      <c r="H484" s="9" t="str">
        <f ca="1">+WORLDCUP!BD63</f>
        <v>Tunisia</v>
      </c>
      <c r="I484" s="9" t="str">
        <f ca="1">+WORLDCUP!BD62</f>
        <v>Ivory Coast</v>
      </c>
      <c r="J484" s="9" t="str">
        <f ca="1">+WORLDCUP!BD68</f>
        <v>DR Congo</v>
      </c>
      <c r="N484" s="16" t="s">
        <v>1275</v>
      </c>
      <c r="O484" s="16">
        <v>483</v>
      </c>
      <c r="P484" s="16" t="s">
        <v>95</v>
      </c>
      <c r="Q484" s="16" t="s">
        <v>127</v>
      </c>
      <c r="R484" s="16" t="s">
        <v>91</v>
      </c>
      <c r="S484" s="16" t="s">
        <v>100</v>
      </c>
      <c r="T484" s="16" t="s">
        <v>86</v>
      </c>
      <c r="U484" s="16" t="s">
        <v>109</v>
      </c>
      <c r="V484" s="16" t="s">
        <v>104</v>
      </c>
      <c r="W484" s="16" t="s">
        <v>131</v>
      </c>
    </row>
    <row r="485" spans="1:23">
      <c r="A485" s="9" t="s">
        <v>1276</v>
      </c>
      <c r="B485" s="9">
        <f ca="1">+IF(A485=WORLDCUP!$BI$112,1,0)</f>
        <v>0</v>
      </c>
      <c r="C485" s="9" t="str">
        <f ca="1">+WORLDCUP!BD60</f>
        <v>Scotland</v>
      </c>
      <c r="D485" s="9" t="str">
        <f ca="1">+WORLDCUP!BD62</f>
        <v>Ivory Coast</v>
      </c>
      <c r="E485" s="9" t="str">
        <f ca="1">+WORLDCUP!BD59</f>
        <v>Switzerland</v>
      </c>
      <c r="F485" s="9" t="str">
        <f ca="1">+WORLDCUP!BD61</f>
        <v>Australia</v>
      </c>
      <c r="G485" s="9" t="str">
        <f ca="1">+WORLDCUP!BD58</f>
        <v>South Korea</v>
      </c>
      <c r="H485" s="9" t="str">
        <f ca="1">+WORLDCUP!BD63</f>
        <v>Tunisia</v>
      </c>
      <c r="I485" s="9" t="str">
        <f ca="1">+WORLDCUP!BD69</f>
        <v>Croatia</v>
      </c>
      <c r="J485" s="9" t="str">
        <f ca="1">+WORLDCUP!BD66</f>
        <v>Norway</v>
      </c>
      <c r="N485" s="16" t="s">
        <v>1276</v>
      </c>
      <c r="O485" s="16">
        <v>484</v>
      </c>
      <c r="P485" s="16" t="s">
        <v>95</v>
      </c>
      <c r="Q485" s="16" t="s">
        <v>104</v>
      </c>
      <c r="R485" s="16" t="s">
        <v>91</v>
      </c>
      <c r="S485" s="16" t="s">
        <v>100</v>
      </c>
      <c r="T485" s="16" t="s">
        <v>86</v>
      </c>
      <c r="U485" s="16" t="s">
        <v>109</v>
      </c>
      <c r="V485" s="16" t="s">
        <v>136</v>
      </c>
      <c r="W485" s="16" t="s">
        <v>122</v>
      </c>
    </row>
    <row r="486" spans="1:23">
      <c r="A486" s="9" t="s">
        <v>1277</v>
      </c>
      <c r="B486" s="9">
        <f ca="1">+IF(A486=WORLDCUP!$BI$112,1,0)</f>
        <v>0</v>
      </c>
      <c r="C486" s="9" t="str">
        <f ca="1">+WORLDCUP!BD60</f>
        <v>Scotland</v>
      </c>
      <c r="D486" s="9" t="str">
        <f ca="1">+WORLDCUP!BD62</f>
        <v>Ivory Coast</v>
      </c>
      <c r="E486" s="9" t="str">
        <f ca="1">+WORLDCUP!BD59</f>
        <v>Switzerland</v>
      </c>
      <c r="F486" s="9" t="str">
        <f ca="1">+WORLDCUP!BD61</f>
        <v>Australia</v>
      </c>
      <c r="G486" s="9" t="str">
        <f ca="1">+WORLDCUP!BD58</f>
        <v>South Korea</v>
      </c>
      <c r="H486" s="9" t="str">
        <f ca="1">+WORLDCUP!BD63</f>
        <v>Tunisia</v>
      </c>
      <c r="I486" s="9" t="str">
        <f ca="1">+WORLDCUP!BD66</f>
        <v>Norway</v>
      </c>
      <c r="J486" s="9" t="str">
        <f ca="1">+WORLDCUP!BD68</f>
        <v>DR Congo</v>
      </c>
      <c r="N486" s="16" t="s">
        <v>1277</v>
      </c>
      <c r="O486" s="16">
        <v>485</v>
      </c>
      <c r="P486" s="16" t="s">
        <v>95</v>
      </c>
      <c r="Q486" s="16" t="s">
        <v>104</v>
      </c>
      <c r="R486" s="16" t="s">
        <v>91</v>
      </c>
      <c r="S486" s="16" t="s">
        <v>100</v>
      </c>
      <c r="T486" s="16" t="s">
        <v>86</v>
      </c>
      <c r="U486" s="16" t="s">
        <v>109</v>
      </c>
      <c r="V486" s="16" t="s">
        <v>122</v>
      </c>
      <c r="W486" s="16" t="s">
        <v>131</v>
      </c>
    </row>
    <row r="487" spans="1:23">
      <c r="A487" s="9" t="s">
        <v>1278</v>
      </c>
      <c r="B487" s="9">
        <f ca="1">+IF(A487=WORLDCUP!$BI$112,1,0)</f>
        <v>0</v>
      </c>
      <c r="C487" s="9" t="str">
        <f ca="1">+WORLDCUP!BD60</f>
        <v>Scotland</v>
      </c>
      <c r="D487" s="9" t="str">
        <f ca="1">+WORLDCUP!BD67</f>
        <v>Algeria</v>
      </c>
      <c r="E487" s="9" t="str">
        <f ca="1">+WORLDCUP!BD59</f>
        <v>Switzerland</v>
      </c>
      <c r="F487" s="9" t="str">
        <f ca="1">+WORLDCUP!BD61</f>
        <v>Australia</v>
      </c>
      <c r="G487" s="9" t="str">
        <f ca="1">+WORLDCUP!BD58</f>
        <v>South Korea</v>
      </c>
      <c r="H487" s="9" t="str">
        <f ca="1">+WORLDCUP!BD63</f>
        <v>Tunisia</v>
      </c>
      <c r="I487" s="9" t="str">
        <f ca="1">+WORLDCUP!BD62</f>
        <v>Ivory Coast</v>
      </c>
      <c r="J487" s="9" t="str">
        <f ca="1">+WORLDCUP!BD66</f>
        <v>Norway</v>
      </c>
      <c r="N487" s="16" t="s">
        <v>1278</v>
      </c>
      <c r="O487" s="16">
        <v>486</v>
      </c>
      <c r="P487" s="16" t="s">
        <v>95</v>
      </c>
      <c r="Q487" s="16" t="s">
        <v>127</v>
      </c>
      <c r="R487" s="16" t="s">
        <v>91</v>
      </c>
      <c r="S487" s="16" t="s">
        <v>100</v>
      </c>
      <c r="T487" s="16" t="s">
        <v>86</v>
      </c>
      <c r="U487" s="16" t="s">
        <v>109</v>
      </c>
      <c r="V487" s="16" t="s">
        <v>104</v>
      </c>
      <c r="W487" s="16" t="s">
        <v>122</v>
      </c>
    </row>
    <row r="488" spans="1:23">
      <c r="A488" s="9" t="s">
        <v>1279</v>
      </c>
      <c r="B488" s="9">
        <f ca="1">+IF(A488=WORLDCUP!$BI$112,1,0)</f>
        <v>0</v>
      </c>
      <c r="C488" s="9" t="str">
        <f ca="1">+WORLDCUP!BD65</f>
        <v>Saudi Arabia</v>
      </c>
      <c r="D488" s="9" t="str">
        <f ca="1">+WORLDCUP!BD63</f>
        <v>Tunisia</v>
      </c>
      <c r="E488" s="9" t="str">
        <f ca="1">+WORLDCUP!BD59</f>
        <v>Switzerland</v>
      </c>
      <c r="F488" s="9" t="str">
        <f ca="1">+WORLDCUP!BD60</f>
        <v>Scotland</v>
      </c>
      <c r="G488" s="9" t="str">
        <f ca="1">+WORLDCUP!BD58</f>
        <v>South Korea</v>
      </c>
      <c r="H488" s="9" t="str">
        <f ca="1">+WORLDCUP!BD61</f>
        <v>Australia</v>
      </c>
      <c r="I488" s="9" t="str">
        <f ca="1">+WORLDCUP!BD69</f>
        <v>Croatia</v>
      </c>
      <c r="J488" s="9" t="str">
        <f ca="1">+WORLDCUP!BD62</f>
        <v>Ivory Coast</v>
      </c>
      <c r="N488" s="16" t="s">
        <v>1279</v>
      </c>
      <c r="O488" s="16">
        <v>487</v>
      </c>
      <c r="P488" s="16" t="s">
        <v>118</v>
      </c>
      <c r="Q488" s="16" t="s">
        <v>109</v>
      </c>
      <c r="R488" s="16" t="s">
        <v>91</v>
      </c>
      <c r="S488" s="16" t="s">
        <v>95</v>
      </c>
      <c r="T488" s="16" t="s">
        <v>86</v>
      </c>
      <c r="U488" s="16" t="s">
        <v>100</v>
      </c>
      <c r="V488" s="16" t="s">
        <v>136</v>
      </c>
      <c r="W488" s="16" t="s">
        <v>104</v>
      </c>
    </row>
    <row r="489" spans="1:23">
      <c r="A489" s="9" t="s">
        <v>1280</v>
      </c>
      <c r="B489" s="9">
        <f ca="1">+IF(A489=WORLDCUP!$BI$112,1,0)</f>
        <v>0</v>
      </c>
      <c r="C489" s="9" t="str">
        <f ca="1">+WORLDCUP!BD65</f>
        <v>Saudi Arabia</v>
      </c>
      <c r="D489" s="9" t="str">
        <f ca="1">+WORLDCUP!BD62</f>
        <v>Ivory Coast</v>
      </c>
      <c r="E489" s="9" t="str">
        <f ca="1">+WORLDCUP!BD59</f>
        <v>Switzerland</v>
      </c>
      <c r="F489" s="9" t="str">
        <f ca="1">+WORLDCUP!BD60</f>
        <v>Scotland</v>
      </c>
      <c r="G489" s="9" t="str">
        <f ca="1">+WORLDCUP!BD58</f>
        <v>South Korea</v>
      </c>
      <c r="H489" s="9" t="str">
        <f ca="1">+WORLDCUP!BD63</f>
        <v>Tunisia</v>
      </c>
      <c r="I489" s="9" t="str">
        <f ca="1">+WORLDCUP!BD61</f>
        <v>Australia</v>
      </c>
      <c r="J489" s="9" t="str">
        <f ca="1">+WORLDCUP!BD68</f>
        <v>DR Congo</v>
      </c>
      <c r="N489" s="16" t="s">
        <v>1280</v>
      </c>
      <c r="O489" s="16">
        <v>488</v>
      </c>
      <c r="P489" s="16" t="s">
        <v>118</v>
      </c>
      <c r="Q489" s="16" t="s">
        <v>104</v>
      </c>
      <c r="R489" s="16" t="s">
        <v>91</v>
      </c>
      <c r="S489" s="16" t="s">
        <v>95</v>
      </c>
      <c r="T489" s="16" t="s">
        <v>86</v>
      </c>
      <c r="U489" s="16" t="s">
        <v>109</v>
      </c>
      <c r="V489" s="16" t="s">
        <v>100</v>
      </c>
      <c r="W489" s="16" t="s">
        <v>131</v>
      </c>
    </row>
    <row r="490" spans="1:23">
      <c r="A490" s="9" t="s">
        <v>1281</v>
      </c>
      <c r="B490" s="9">
        <f ca="1">+IF(A490=WORLDCUP!$BI$112,1,0)</f>
        <v>0</v>
      </c>
      <c r="C490" s="9" t="str">
        <f ca="1">+WORLDCUP!BD65</f>
        <v>Saudi Arabia</v>
      </c>
      <c r="D490" s="9" t="str">
        <f ca="1">+WORLDCUP!BD67</f>
        <v>Algeria</v>
      </c>
      <c r="E490" s="9" t="str">
        <f ca="1">+WORLDCUP!BD59</f>
        <v>Switzerland</v>
      </c>
      <c r="F490" s="9" t="str">
        <f ca="1">+WORLDCUP!BD60</f>
        <v>Scotland</v>
      </c>
      <c r="G490" s="9" t="str">
        <f ca="1">+WORLDCUP!BD58</f>
        <v>South Korea</v>
      </c>
      <c r="H490" s="9" t="str">
        <f ca="1">+WORLDCUP!BD63</f>
        <v>Tunisia</v>
      </c>
      <c r="I490" s="9" t="str">
        <f ca="1">+WORLDCUP!BD61</f>
        <v>Australia</v>
      </c>
      <c r="J490" s="9" t="str">
        <f ca="1">+WORLDCUP!BD62</f>
        <v>Ivory Coast</v>
      </c>
      <c r="N490" s="16" t="s">
        <v>1281</v>
      </c>
      <c r="O490" s="16">
        <v>489</v>
      </c>
      <c r="P490" s="16" t="s">
        <v>118</v>
      </c>
      <c r="Q490" s="16" t="s">
        <v>127</v>
      </c>
      <c r="R490" s="16" t="s">
        <v>91</v>
      </c>
      <c r="S490" s="16" t="s">
        <v>95</v>
      </c>
      <c r="T490" s="16" t="s">
        <v>86</v>
      </c>
      <c r="U490" s="16" t="s">
        <v>109</v>
      </c>
      <c r="V490" s="16" t="s">
        <v>100</v>
      </c>
      <c r="W490" s="16" t="s">
        <v>104</v>
      </c>
    </row>
    <row r="491" spans="1:23">
      <c r="A491" s="9" t="s">
        <v>1282</v>
      </c>
      <c r="B491" s="9">
        <f ca="1">+IF(A491=WORLDCUP!$BI$112,1,0)</f>
        <v>0</v>
      </c>
      <c r="C491" s="9" t="str">
        <f ca="1">+WORLDCUP!BD65</f>
        <v>Saudi Arabia</v>
      </c>
      <c r="D491" s="9" t="str">
        <f ca="1">+WORLDCUP!BD62</f>
        <v>Ivory Coast</v>
      </c>
      <c r="E491" s="9" t="str">
        <f ca="1">+WORLDCUP!BD59</f>
        <v>Switzerland</v>
      </c>
      <c r="F491" s="9" t="str">
        <f ca="1">+WORLDCUP!BD60</f>
        <v>Scotland</v>
      </c>
      <c r="G491" s="9" t="str">
        <f ca="1">+WORLDCUP!BD58</f>
        <v>South Korea</v>
      </c>
      <c r="H491" s="9" t="str">
        <f ca="1">+WORLDCUP!BD63</f>
        <v>Tunisia</v>
      </c>
      <c r="I491" s="9" t="str">
        <f ca="1">+WORLDCUP!BD61</f>
        <v>Australia</v>
      </c>
      <c r="J491" s="9" t="str">
        <f ca="1">+WORLDCUP!BD66</f>
        <v>Norway</v>
      </c>
      <c r="N491" s="16" t="s">
        <v>1282</v>
      </c>
      <c r="O491" s="16">
        <v>490</v>
      </c>
      <c r="P491" s="16" t="s">
        <v>118</v>
      </c>
      <c r="Q491" s="16" t="s">
        <v>104</v>
      </c>
      <c r="R491" s="16" t="s">
        <v>91</v>
      </c>
      <c r="S491" s="16" t="s">
        <v>95</v>
      </c>
      <c r="T491" s="16" t="s">
        <v>86</v>
      </c>
      <c r="U491" s="16" t="s">
        <v>109</v>
      </c>
      <c r="V491" s="16" t="s">
        <v>100</v>
      </c>
      <c r="W491" s="16" t="s">
        <v>122</v>
      </c>
    </row>
    <row r="492" spans="1:23">
      <c r="A492" s="9" t="s">
        <v>1283</v>
      </c>
      <c r="B492" s="9">
        <f ca="1">+IF(A492=WORLDCUP!$BI$112,1,0)</f>
        <v>0</v>
      </c>
      <c r="C492" s="9" t="str">
        <f ca="1">+WORLDCUP!BD60</f>
        <v>Scotland</v>
      </c>
      <c r="D492" s="9" t="str">
        <f ca="1">+WORLDCUP!BD64</f>
        <v>Egypt</v>
      </c>
      <c r="E492" s="9" t="str">
        <f ca="1">+WORLDCUP!BD59</f>
        <v>Switzerland</v>
      </c>
      <c r="F492" s="9" t="str">
        <f ca="1">+WORLDCUP!BD61</f>
        <v>Australia</v>
      </c>
      <c r="G492" s="9" t="str">
        <f ca="1">+WORLDCUP!BD58</f>
        <v>South Korea</v>
      </c>
      <c r="H492" s="9" t="str">
        <f ca="1">+WORLDCUP!BD63</f>
        <v>Tunisia</v>
      </c>
      <c r="I492" s="9" t="str">
        <f ca="1">+WORLDCUP!BD69</f>
        <v>Croatia</v>
      </c>
      <c r="J492" s="9" t="str">
        <f ca="1">+WORLDCUP!BD62</f>
        <v>Ivory Coast</v>
      </c>
      <c r="N492" s="16" t="s">
        <v>1283</v>
      </c>
      <c r="O492" s="16">
        <v>491</v>
      </c>
      <c r="P492" s="16" t="s">
        <v>95</v>
      </c>
      <c r="Q492" s="16" t="s">
        <v>113</v>
      </c>
      <c r="R492" s="16" t="s">
        <v>91</v>
      </c>
      <c r="S492" s="16" t="s">
        <v>100</v>
      </c>
      <c r="T492" s="16" t="s">
        <v>86</v>
      </c>
      <c r="U492" s="16" t="s">
        <v>109</v>
      </c>
      <c r="V492" s="16" t="s">
        <v>136</v>
      </c>
      <c r="W492" s="16" t="s">
        <v>104</v>
      </c>
    </row>
    <row r="493" spans="1:23">
      <c r="A493" s="9" t="s">
        <v>1284</v>
      </c>
      <c r="B493" s="9">
        <f ca="1">+IF(A493=WORLDCUP!$BI$112,1,0)</f>
        <v>0</v>
      </c>
      <c r="C493" s="9" t="str">
        <f ca="1">+WORLDCUP!BD60</f>
        <v>Scotland</v>
      </c>
      <c r="D493" s="9" t="str">
        <f ca="1">+WORLDCUP!BD64</f>
        <v>Egypt</v>
      </c>
      <c r="E493" s="9" t="str">
        <f ca="1">+WORLDCUP!BD59</f>
        <v>Switzerland</v>
      </c>
      <c r="F493" s="9" t="str">
        <f ca="1">+WORLDCUP!BD61</f>
        <v>Australia</v>
      </c>
      <c r="G493" s="9" t="str">
        <f ca="1">+WORLDCUP!BD58</f>
        <v>South Korea</v>
      </c>
      <c r="H493" s="9" t="str">
        <f ca="1">+WORLDCUP!BD63</f>
        <v>Tunisia</v>
      </c>
      <c r="I493" s="9" t="str">
        <f ca="1">+WORLDCUP!BD62</f>
        <v>Ivory Coast</v>
      </c>
      <c r="J493" s="9" t="str">
        <f ca="1">+WORLDCUP!BD68</f>
        <v>DR Congo</v>
      </c>
      <c r="N493" s="16" t="s">
        <v>1284</v>
      </c>
      <c r="O493" s="16">
        <v>492</v>
      </c>
      <c r="P493" s="16" t="s">
        <v>95</v>
      </c>
      <c r="Q493" s="16" t="s">
        <v>113</v>
      </c>
      <c r="R493" s="16" t="s">
        <v>91</v>
      </c>
      <c r="S493" s="16" t="s">
        <v>100</v>
      </c>
      <c r="T493" s="16" t="s">
        <v>86</v>
      </c>
      <c r="U493" s="16" t="s">
        <v>109</v>
      </c>
      <c r="V493" s="16" t="s">
        <v>104</v>
      </c>
      <c r="W493" s="16" t="s">
        <v>131</v>
      </c>
    </row>
    <row r="494" spans="1:23">
      <c r="A494" s="9" t="s">
        <v>1285</v>
      </c>
      <c r="B494" s="9">
        <f ca="1">+IF(A494=WORLDCUP!$BI$112,1,0)</f>
        <v>0</v>
      </c>
      <c r="C494" s="9" t="str">
        <f ca="1">+WORLDCUP!BD60</f>
        <v>Scotland</v>
      </c>
      <c r="D494" s="9" t="str">
        <f ca="1">+WORLDCUP!BD64</f>
        <v>Egypt</v>
      </c>
      <c r="E494" s="9" t="str">
        <f ca="1">+WORLDCUP!BD59</f>
        <v>Switzerland</v>
      </c>
      <c r="F494" s="9" t="str">
        <f ca="1">+WORLDCUP!BD61</f>
        <v>Australia</v>
      </c>
      <c r="G494" s="9" t="str">
        <f ca="1">+WORLDCUP!BD58</f>
        <v>South Korea</v>
      </c>
      <c r="H494" s="9" t="str">
        <f ca="1">+WORLDCUP!BD63</f>
        <v>Tunisia</v>
      </c>
      <c r="I494" s="9" t="str">
        <f ca="1">+WORLDCUP!BD62</f>
        <v>Ivory Coast</v>
      </c>
      <c r="J494" s="9" t="str">
        <f ca="1">+WORLDCUP!BD67</f>
        <v>Algeria</v>
      </c>
      <c r="N494" s="16" t="s">
        <v>1285</v>
      </c>
      <c r="O494" s="16">
        <v>493</v>
      </c>
      <c r="P494" s="16" t="s">
        <v>95</v>
      </c>
      <c r="Q494" s="16" t="s">
        <v>113</v>
      </c>
      <c r="R494" s="16" t="s">
        <v>91</v>
      </c>
      <c r="S494" s="16" t="s">
        <v>100</v>
      </c>
      <c r="T494" s="16" t="s">
        <v>86</v>
      </c>
      <c r="U494" s="16" t="s">
        <v>109</v>
      </c>
      <c r="V494" s="16" t="s">
        <v>104</v>
      </c>
      <c r="W494" s="16" t="s">
        <v>127</v>
      </c>
    </row>
    <row r="495" spans="1:23">
      <c r="A495" s="9" t="s">
        <v>1286</v>
      </c>
      <c r="B495" s="9">
        <f ca="1">+IF(A495=WORLDCUP!$BI$112,1,0)</f>
        <v>0</v>
      </c>
      <c r="C495" s="9" t="str">
        <f ca="1">+WORLDCUP!BD60</f>
        <v>Scotland</v>
      </c>
      <c r="D495" s="9" t="str">
        <f ca="1">+WORLDCUP!BD64</f>
        <v>Egypt</v>
      </c>
      <c r="E495" s="9" t="str">
        <f ca="1">+WORLDCUP!BD59</f>
        <v>Switzerland</v>
      </c>
      <c r="F495" s="9" t="str">
        <f ca="1">+WORLDCUP!BD61</f>
        <v>Australia</v>
      </c>
      <c r="G495" s="9" t="str">
        <f ca="1">+WORLDCUP!BD58</f>
        <v>South Korea</v>
      </c>
      <c r="H495" s="9" t="str">
        <f ca="1">+WORLDCUP!BD63</f>
        <v>Tunisia</v>
      </c>
      <c r="I495" s="9" t="str">
        <f ca="1">+WORLDCUP!BD62</f>
        <v>Ivory Coast</v>
      </c>
      <c r="J495" s="9" t="str">
        <f ca="1">+WORLDCUP!BD66</f>
        <v>Norway</v>
      </c>
      <c r="N495" s="16" t="s">
        <v>1286</v>
      </c>
      <c r="O495" s="16">
        <v>494</v>
      </c>
      <c r="P495" s="16" t="s">
        <v>95</v>
      </c>
      <c r="Q495" s="16" t="s">
        <v>113</v>
      </c>
      <c r="R495" s="16" t="s">
        <v>91</v>
      </c>
      <c r="S495" s="16" t="s">
        <v>100</v>
      </c>
      <c r="T495" s="16" t="s">
        <v>86</v>
      </c>
      <c r="U495" s="16" t="s">
        <v>109</v>
      </c>
      <c r="V495" s="16" t="s">
        <v>104</v>
      </c>
      <c r="W495" s="16" t="s">
        <v>122</v>
      </c>
    </row>
    <row r="496" spans="1:23">
      <c r="A496" s="9" t="s">
        <v>1287</v>
      </c>
      <c r="B496" s="9">
        <f ca="1">+IF(A496=WORLDCUP!$BI$112,1,0)</f>
        <v>0</v>
      </c>
      <c r="C496" s="9" t="str">
        <f ca="1">+WORLDCUP!BD65</f>
        <v>Saudi Arabia</v>
      </c>
      <c r="D496" s="9" t="str">
        <f ca="1">+WORLDCUP!BD64</f>
        <v>Egypt</v>
      </c>
      <c r="E496" s="9" t="str">
        <f ca="1">+WORLDCUP!BD59</f>
        <v>Switzerland</v>
      </c>
      <c r="F496" s="9" t="str">
        <f ca="1">+WORLDCUP!BD60</f>
        <v>Scotland</v>
      </c>
      <c r="G496" s="9" t="str">
        <f ca="1">+WORLDCUP!BD58</f>
        <v>South Korea</v>
      </c>
      <c r="H496" s="9" t="str">
        <f ca="1">+WORLDCUP!BD63</f>
        <v>Tunisia</v>
      </c>
      <c r="I496" s="9" t="str">
        <f ca="1">+WORLDCUP!BD61</f>
        <v>Australia</v>
      </c>
      <c r="J496" s="9" t="str">
        <f ca="1">+WORLDCUP!BD62</f>
        <v>Ivory Coast</v>
      </c>
      <c r="N496" s="16" t="s">
        <v>1287</v>
      </c>
      <c r="O496" s="16">
        <v>495</v>
      </c>
      <c r="P496" s="16" t="s">
        <v>118</v>
      </c>
      <c r="Q496" s="16" t="s">
        <v>113</v>
      </c>
      <c r="R496" s="16" t="s">
        <v>91</v>
      </c>
      <c r="S496" s="16" t="s">
        <v>95</v>
      </c>
      <c r="T496" s="16" t="s">
        <v>86</v>
      </c>
      <c r="U496" s="16" t="s">
        <v>109</v>
      </c>
      <c r="V496" s="16" t="s">
        <v>100</v>
      </c>
      <c r="W496" s="16" t="s">
        <v>104</v>
      </c>
    </row>
    <row r="497" spans="1:10">
      <c r="A497" s="409" t="s">
        <v>155</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10"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5546875" defaultRowHeight="15"/>
  <cols>
    <col min="1" max="1" width="3" style="5" customWidth="1"/>
    <col min="2" max="2" width="15.85546875" style="5" customWidth="1"/>
    <col min="3" max="3" width="35.85546875" style="5" customWidth="1"/>
    <col min="4" max="4" width="0.42578125" style="5" customWidth="1"/>
    <col min="5" max="5" width="10.85546875" style="5"/>
    <col min="6" max="6" width="0.42578125" style="5" customWidth="1"/>
    <col min="7" max="9" width="10.85546875" style="5"/>
    <col min="10" max="10" width="10.85546875" style="5" customWidth="1"/>
    <col min="11" max="11" width="4" style="5" customWidth="1"/>
    <col min="12" max="12" width="19.140625" style="5" customWidth="1"/>
    <col min="13" max="13" width="10.85546875" style="5"/>
    <col min="14" max="17" width="15.85546875" style="5" customWidth="1"/>
    <col min="18" max="18" width="22.85546875" style="5" customWidth="1"/>
    <col min="20" max="20" width="10.85546875" style="16"/>
    <col min="21" max="22" width="10.85546875" style="582"/>
    <col min="23" max="24" width="10.85546875" style="582" hidden="1" customWidth="1"/>
    <col min="25" max="25" width="10.85546875" style="582"/>
    <col min="26" max="28" width="10.85546875" style="407"/>
    <col min="29" max="149" width="10.85546875" style="5"/>
    <col min="150" max="158" width="10.85546875" style="407"/>
    <col min="159" max="16384" width="10.85546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327</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315</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1288</v>
      </c>
      <c r="D15" s="237"/>
      <c r="E15" s="237" t="s">
        <v>1289</v>
      </c>
      <c r="F15" s="238"/>
      <c r="G15" s="237" t="s">
        <v>1290</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484</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1291</v>
      </c>
      <c r="D20" s="268"/>
      <c r="E20" s="269" t="s">
        <v>284</v>
      </c>
      <c r="F20" s="269"/>
      <c r="G20" s="269" t="s">
        <v>0</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1292</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1293</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1294</v>
      </c>
      <c r="D25" s="273"/>
      <c r="E25" s="271">
        <v>2</v>
      </c>
      <c r="F25" s="273"/>
      <c r="G25" s="272">
        <v>0</v>
      </c>
      <c r="H25" s="260"/>
      <c r="I25" s="260"/>
      <c r="J25" s="261"/>
      <c r="K25" s="258"/>
      <c r="L25" s="345" t="s">
        <v>2</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1295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1296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1297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75" thickBot="1">
      <c r="A33" s="227"/>
      <c r="K33" s="227"/>
    </row>
    <row r="34" spans="1:17" ht="27.95" customHeight="1" thickBot="1">
      <c r="A34" s="227"/>
      <c r="B34" s="721" t="str">
        <f>HYPERLINK(Idiomas!D10,Idiomas!D9)</f>
        <v>▼ Download Administrator Excel File ▼</v>
      </c>
      <c r="C34" s="722"/>
      <c r="D34" s="722"/>
      <c r="E34" s="722"/>
      <c r="F34" s="722"/>
      <c r="G34" s="722"/>
      <c r="H34" s="722"/>
      <c r="I34" s="722"/>
      <c r="J34" s="723"/>
      <c r="K34" s="227"/>
      <c r="L34" s="288" t="s">
        <v>5</v>
      </c>
    </row>
    <row r="35" spans="1:17">
      <c r="A35" s="227"/>
      <c r="C35" s="227"/>
      <c r="D35" s="227"/>
      <c r="E35" s="227"/>
      <c r="F35" s="227"/>
      <c r="G35" s="227"/>
      <c r="H35" s="227"/>
      <c r="I35" s="227"/>
      <c r="J35" s="227"/>
      <c r="K35" s="227"/>
      <c r="L35" s="227"/>
      <c r="M35" s="226"/>
      <c r="N35" s="227"/>
      <c r="O35" s="227"/>
      <c r="P35" s="227"/>
      <c r="Q35" s="227"/>
    </row>
    <row r="36" spans="1:17" ht="27.95"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50000000000003"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1298</v>
      </c>
      <c r="N86" s="6"/>
      <c r="O86" s="6"/>
      <c r="P86" s="6"/>
      <c r="Q86" s="6"/>
      <c r="R86" s="6"/>
      <c r="T86" s="16" t="s">
        <v>1299</v>
      </c>
      <c r="U86" s="409" t="s">
        <v>1300</v>
      </c>
      <c r="V86" s="409" t="s">
        <v>1301</v>
      </c>
      <c r="W86" s="409" t="s">
        <v>1302</v>
      </c>
      <c r="X86" s="409" t="s">
        <v>1303</v>
      </c>
      <c r="Y86" s="409" t="s">
        <v>1304</v>
      </c>
      <c r="Z86" s="6"/>
      <c r="AA86" s="6"/>
      <c r="AB86" s="6"/>
    </row>
    <row r="87" spans="12:28">
      <c r="L87" s="3"/>
      <c r="M87" s="612" t="s">
        <v>1305</v>
      </c>
      <c r="N87" s="9" t="str">
        <f>IFERROR(IF($J$18="",$U$87,INDEX($U$87:$U$91,MATCH(M87,$T$87:$T$91,0))),"")</f>
        <v>Irán</v>
      </c>
      <c r="O87" s="9" t="str">
        <f>IFERROR(IF($J$18="",$V$87,INDEX($V$87:$V$91,MATCH(M87,$T$87:$T$91,0))),"")</f>
        <v>Iran</v>
      </c>
      <c r="P87" s="6"/>
      <c r="Q87" s="6"/>
      <c r="R87" s="6"/>
      <c r="T87" s="16" t="s">
        <v>1305</v>
      </c>
      <c r="U87" s="9" t="s">
        <v>1306</v>
      </c>
      <c r="V87" s="9" t="s">
        <v>1307</v>
      </c>
      <c r="W87" s="9" t="s">
        <v>1308</v>
      </c>
      <c r="X87" s="9" t="e" vm="49">
        <v>#VALUE!</v>
      </c>
      <c r="Y87" s="9">
        <v>3.5</v>
      </c>
      <c r="Z87" s="6"/>
      <c r="AA87" s="6"/>
      <c r="AB87" s="6"/>
    </row>
    <row r="88" spans="12:28">
      <c r="L88" s="3"/>
      <c r="M88" s="3"/>
      <c r="N88" s="3"/>
      <c r="O88" s="6"/>
      <c r="P88" s="6"/>
      <c r="Q88" s="6"/>
      <c r="R88" s="6"/>
      <c r="T88" s="16" t="s">
        <v>1309</v>
      </c>
      <c r="U88" s="9" t="s">
        <v>1310</v>
      </c>
      <c r="V88" s="9" t="s">
        <v>1311</v>
      </c>
      <c r="W88" s="9" t="s">
        <v>1312</v>
      </c>
      <c r="X88" s="584" t="e" vm="50">
        <v>#VALUE!</v>
      </c>
      <c r="Y88" s="9">
        <v>4</v>
      </c>
      <c r="Z88" s="6"/>
      <c r="AA88" s="6"/>
      <c r="AB88" s="6"/>
    </row>
    <row r="89" spans="12:28" ht="15.75">
      <c r="L89" s="3"/>
      <c r="M89" s="3"/>
      <c r="N89" s="3"/>
      <c r="O89" s="6"/>
      <c r="P89" s="6"/>
      <c r="Q89" s="6"/>
      <c r="R89" s="6"/>
      <c r="T89" s="16" t="s">
        <v>1313</v>
      </c>
      <c r="U89" s="9" t="s">
        <v>1314</v>
      </c>
      <c r="V89" s="9" t="s">
        <v>1314</v>
      </c>
      <c r="W89" s="585" t="s">
        <v>1315</v>
      </c>
      <c r="X89" s="584" t="e" vm="51">
        <v>#VALUE!</v>
      </c>
      <c r="Y89" s="9">
        <v>-4</v>
      </c>
      <c r="Z89" s="6"/>
      <c r="AA89" s="6"/>
      <c r="AB89" s="6"/>
    </row>
    <row r="90" spans="12:28" ht="15.75">
      <c r="L90" s="3"/>
      <c r="M90" s="3"/>
      <c r="N90" s="3"/>
      <c r="O90" s="6"/>
      <c r="P90" s="6"/>
      <c r="Q90" s="6"/>
      <c r="R90" s="6"/>
      <c r="T90" s="16" t="s">
        <v>1316</v>
      </c>
      <c r="U90" s="9" t="s">
        <v>1317</v>
      </c>
      <c r="V90" s="9" t="s">
        <v>1318</v>
      </c>
      <c r="W90" s="586" t="s">
        <v>1319</v>
      </c>
      <c r="X90" s="584" t="e" vm="52">
        <v>#VALUE!</v>
      </c>
      <c r="Y90" s="9">
        <v>-3</v>
      </c>
      <c r="Z90" s="6"/>
      <c r="AA90" s="6"/>
      <c r="AB90" s="6"/>
    </row>
    <row r="91" spans="12:28">
      <c r="L91" s="3"/>
      <c r="M91" s="3"/>
      <c r="N91" s="3"/>
      <c r="O91" s="6"/>
      <c r="P91" s="6"/>
      <c r="Q91" s="6"/>
      <c r="R91" s="6"/>
      <c r="T91" s="16" t="s">
        <v>1320</v>
      </c>
      <c r="U91" s="9" t="str">
        <f>N93</f>
        <v>Escribe el país</v>
      </c>
      <c r="V91" s="9" t="str">
        <f>O93</f>
        <v>Write the nation</v>
      </c>
      <c r="W91" s="9" t="str">
        <f>IF(Q93="","",Q93)</f>
        <v/>
      </c>
      <c r="X91" s="9" t="str">
        <f>IF(R93="","",R93)</f>
        <v/>
      </c>
      <c r="Y91" s="9">
        <f>IF(P93="",-4,P93)</f>
        <v>-4</v>
      </c>
      <c r="Z91" s="6"/>
      <c r="AA91" s="6"/>
      <c r="AB91" s="6"/>
    </row>
    <row r="92" spans="12:28" ht="18.95" customHeight="1">
      <c r="L92" s="3"/>
      <c r="M92" s="3"/>
      <c r="N92" s="409" t="s">
        <v>1300</v>
      </c>
      <c r="O92" s="409" t="s">
        <v>1301</v>
      </c>
      <c r="P92" s="409" t="s">
        <v>1321</v>
      </c>
      <c r="Q92" s="409" t="s">
        <v>1322</v>
      </c>
      <c r="R92" s="409" t="s">
        <v>1303</v>
      </c>
      <c r="Z92" s="6"/>
      <c r="AA92" s="6"/>
      <c r="AB92" s="6"/>
    </row>
    <row r="93" spans="12:28" ht="24.95" customHeight="1">
      <c r="L93" s="3"/>
      <c r="M93" s="9" t="s">
        <v>1320</v>
      </c>
      <c r="N93" s="587" t="s">
        <v>1323</v>
      </c>
      <c r="O93" s="587" t="s">
        <v>1324</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1325</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1326</v>
      </c>
      <c r="FA6119" s="614" t="s">
        <v>1327</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1328</v>
      </c>
      <c r="FA6120" s="614" t="s">
        <v>1329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1330</v>
      </c>
      <c r="FA6121" s="614" t="s">
        <v>1331</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1332</v>
      </c>
      <c r="FA6122" s="614" t="s">
        <v>1332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1333</v>
      </c>
      <c r="FA6123" s="614" t="s">
        <v>1333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1334</v>
      </c>
      <c r="FA6124" s="614" t="s">
        <v>1334</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1335</v>
      </c>
      <c r="FA6125" s="614" t="s">
        <v>1336</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1337</v>
      </c>
      <c r="FA6126" s="614" t="s">
        <v>1338</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1339</v>
      </c>
      <c r="FA6127" s="614" t="s">
        <v>1340</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1341</v>
      </c>
      <c r="FA6128" s="614" t="s">
        <v>1342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1343</v>
      </c>
      <c r="FA6129" s="614" t="s">
        <v>1344</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1345</v>
      </c>
      <c r="FA6130" s="614" t="s">
        <v>1345</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1346</v>
      </c>
      <c r="FA6131" s="614" t="s">
        <v>1347</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1348</v>
      </c>
      <c r="FA6132" s="614" t="s">
        <v>1349</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1350</v>
      </c>
      <c r="FA6133" s="614" t="s">
        <v>1351</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1352</v>
      </c>
      <c r="FA6134" s="614" t="s">
        <v>1353</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1354</v>
      </c>
      <c r="FA6135" s="614" t="s">
        <v>1354</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1355</v>
      </c>
      <c r="FA6136" s="614" t="s">
        <v>1356</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1357</v>
      </c>
      <c r="FA6137" s="614" t="s">
        <v>1358</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1359</v>
      </c>
      <c r="FA6138" s="614" t="s">
        <v>1360</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764</v>
      </c>
      <c r="FA6139" s="614" t="s">
        <v>765</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1361</v>
      </c>
      <c r="FA6140" s="614" t="s">
        <v>1362</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1363</v>
      </c>
      <c r="FA6141" s="614" t="s">
        <v>1363</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1364</v>
      </c>
      <c r="FA6142" s="614" t="s">
        <v>1365</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1366</v>
      </c>
      <c r="FA6143" s="614" t="s">
        <v>1367</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1368</v>
      </c>
      <c r="FA6145" s="614" t="s">
        <v>1369</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1370</v>
      </c>
      <c r="FA6146" s="614" t="s">
        <v>1371</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1372</v>
      </c>
      <c r="FA6147" s="614" t="s">
        <v>1373</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1374</v>
      </c>
      <c r="FA6148" s="614" t="s">
        <v>1375</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1376</v>
      </c>
      <c r="FA6149" s="614" t="s">
        <v>1377</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1378</v>
      </c>
      <c r="FA6150" s="614" t="s">
        <v>1379</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1380</v>
      </c>
      <c r="FA6151" s="614" t="s">
        <v>1</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1381</v>
      </c>
      <c r="FA6152" s="614" t="s">
        <v>1382</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1383</v>
      </c>
      <c r="FA6153" s="614" t="s">
        <v>1383</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1384</v>
      </c>
      <c r="FA6154" s="614" t="s">
        <v>1384</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1385</v>
      </c>
      <c r="FA6155" s="614" t="s">
        <v>1385</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1386</v>
      </c>
      <c r="FA6156" s="614" t="s">
        <v>1387</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1388</v>
      </c>
      <c r="FA6157" s="614" t="s">
        <v>1389</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1390</v>
      </c>
      <c r="FA6158" s="614" t="s">
        <v>1391</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1392</v>
      </c>
      <c r="FA6159" s="614" t="s">
        <v>1392</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1393</v>
      </c>
      <c r="FA6160" s="614" t="s">
        <v>1394</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1395</v>
      </c>
      <c r="FA6161" s="16" t="s">
        <v>1396</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1397</v>
      </c>
      <c r="FA6162" s="16" t="s">
        <v>1398</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1399</v>
      </c>
      <c r="FA6163" s="16" t="s">
        <v>1400</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1401</v>
      </c>
      <c r="FA6164" s="16" t="s">
        <v>1402</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1403</v>
      </c>
      <c r="FA6165" s="16" t="s">
        <v>1404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1405</v>
      </c>
      <c r="FA6166" s="16" t="s">
        <v>1406</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9" priority="1">
      <formula>$J$18=1</formula>
    </cfRule>
  </conditionalFormatting>
  <conditionalFormatting sqref="M84:R84 M87">
    <cfRule type="expression" dxfId="8" priority="2">
      <formula>$J$18=1</formula>
    </cfRule>
  </conditionalFormatting>
  <conditionalFormatting sqref="N92:R93">
    <cfRule type="expression" dxfId="7"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2578125" defaultRowHeight="15" customHeight="1"/>
  <cols>
    <col min="1" max="1" width="6.85546875" style="6" bestFit="1" customWidth="1"/>
    <col min="2" max="2" width="16.85546875" style="6" customWidth="1"/>
    <col min="3" max="3" width="11.42578125" style="6" customWidth="1"/>
    <col min="4" max="4" width="8.85546875" style="6" bestFit="1" customWidth="1"/>
    <col min="5" max="5" width="11.28515625" style="6" customWidth="1"/>
    <col min="6" max="6" width="15.28515625" style="6" customWidth="1"/>
    <col min="7" max="7" width="4.140625" style="6" bestFit="1" customWidth="1"/>
    <col min="8" max="8" width="20.42578125" style="6"/>
    <col min="9" max="9" width="13" style="6" customWidth="1"/>
    <col min="10" max="10" width="12" style="6" customWidth="1"/>
    <col min="11" max="11" width="20.42578125" style="6"/>
    <col min="12" max="13" width="0" style="6" hidden="1" customWidth="1"/>
    <col min="14" max="14" width="4.42578125" style="616" customWidth="1"/>
    <col min="15" max="16384" width="20.42578125" style="617"/>
  </cols>
  <sheetData>
    <row r="1" spans="1:18 8826:8826" ht="15" customHeight="1">
      <c r="A1" s="409" t="s">
        <v>1407</v>
      </c>
      <c r="B1" s="409" t="s">
        <v>29</v>
      </c>
      <c r="C1" s="409" t="s">
        <v>333</v>
      </c>
      <c r="D1" s="409" t="s">
        <v>1408</v>
      </c>
      <c r="E1" s="9"/>
      <c r="F1" s="9" t="s">
        <v>1409</v>
      </c>
      <c r="G1" s="9"/>
      <c r="H1" s="409"/>
      <c r="I1" s="409"/>
      <c r="J1" s="9"/>
      <c r="K1" s="9" t="s">
        <v>408</v>
      </c>
      <c r="L1" s="9" t="s">
        <v>1410</v>
      </c>
      <c r="M1" s="9"/>
    </row>
    <row r="2" spans="1:18 8826:8826" ht="15" customHeight="1">
      <c r="A2" s="9">
        <v>1</v>
      </c>
      <c r="B2" s="9" t="str">
        <f ca="1">+INDEX(Idiomas!$D$202:$D$249,MATCH(T_Equipos[[#This Row],[Num]],Idiomas!$C$202:$C$249,0))</f>
        <v>Mexico</v>
      </c>
      <c r="C2" s="9" t="s">
        <v>30</v>
      </c>
      <c r="D2" s="9">
        <v>1</v>
      </c>
      <c r="E2" s="9"/>
      <c r="F2" s="9" t="s">
        <v>30</v>
      </c>
      <c r="G2" s="9"/>
      <c r="H2" s="9"/>
      <c r="I2" s="9"/>
      <c r="J2" s="9"/>
      <c r="K2" s="9" t="str">
        <f ca="1">Idiomas!D202</f>
        <v>Germany</v>
      </c>
      <c r="L2" s="9" t="s">
        <v>1411</v>
      </c>
      <c r="M2" s="9" t="e" vm="53">
        <v>#VALUE!</v>
      </c>
      <c r="MAL2" s="617" t="s">
        <v>1412</v>
      </c>
    </row>
    <row r="3" spans="1:18 8826:8826" ht="15" customHeight="1">
      <c r="A3" s="9">
        <v>2</v>
      </c>
      <c r="B3" s="9" t="str">
        <f ca="1">+INDEX(Idiomas!$D$202:$D$249,MATCH(T_Equipos[[#This Row],[Num]],Idiomas!$C$202:$C$249,0))</f>
        <v>South Africa</v>
      </c>
      <c r="C3" s="9" t="s">
        <v>30</v>
      </c>
      <c r="D3" s="9">
        <v>2</v>
      </c>
      <c r="E3" s="9"/>
      <c r="F3" s="9" t="s">
        <v>90</v>
      </c>
      <c r="G3" s="9"/>
      <c r="H3" s="9"/>
      <c r="I3" s="9"/>
      <c r="J3" s="9"/>
      <c r="K3" s="9" t="str">
        <f ca="1">Idiomas!D203</f>
        <v>Saudi Arabia</v>
      </c>
      <c r="L3" s="9" t="s">
        <v>1413</v>
      </c>
      <c r="M3" s="9" t="e" vm="54">
        <v>#VALUE!</v>
      </c>
    </row>
    <row r="4" spans="1:18 8826:8826" ht="15" customHeight="1">
      <c r="A4" s="9">
        <v>3</v>
      </c>
      <c r="B4" s="9" t="str">
        <f ca="1">+INDEX(Idiomas!$D$202:$D$249,MATCH(T_Equipos[[#This Row],[Num]],Idiomas!$C$202:$C$249,0))</f>
        <v>South Korea</v>
      </c>
      <c r="C4" s="9" t="s">
        <v>30</v>
      </c>
      <c r="D4" s="9">
        <v>3</v>
      </c>
      <c r="E4" s="9"/>
      <c r="F4" s="9" t="s">
        <v>99</v>
      </c>
      <c r="G4" s="9"/>
      <c r="H4" s="9"/>
      <c r="I4" s="9"/>
      <c r="J4" s="9"/>
      <c r="K4" s="9" t="str">
        <f ca="1">Idiomas!D204</f>
        <v>Algeria</v>
      </c>
      <c r="L4" s="9" t="s">
        <v>1414</v>
      </c>
      <c r="M4" s="9" t="e" vm="55">
        <v>#VALUE!</v>
      </c>
    </row>
    <row r="5" spans="1:18 8826:8826" ht="15" customHeight="1">
      <c r="A5" s="9">
        <v>4</v>
      </c>
      <c r="B5" s="9" t="str">
        <f ca="1">+INDEX(Idiomas!$D$202:$D$249,MATCH(T_Equipos[[#This Row],[Num]],Idiomas!$C$202:$C$249,0))</f>
        <v>Czech Republic</v>
      </c>
      <c r="C5" s="9" t="s">
        <v>30</v>
      </c>
      <c r="D5" s="9">
        <v>4</v>
      </c>
      <c r="E5" s="9"/>
      <c r="F5" s="9" t="s">
        <v>108</v>
      </c>
      <c r="G5" s="9"/>
      <c r="H5" s="9"/>
      <c r="I5" s="9"/>
      <c r="J5" s="9"/>
      <c r="K5" s="9" t="str">
        <f ca="1">Idiomas!D205</f>
        <v>Argentina</v>
      </c>
      <c r="L5" s="9" t="s">
        <v>1415</v>
      </c>
      <c r="M5" s="9" t="e" vm="56">
        <v>#VALUE!</v>
      </c>
    </row>
    <row r="6" spans="1:18 8826:8826" ht="15" customHeight="1">
      <c r="A6" s="9">
        <v>5</v>
      </c>
      <c r="B6" s="9" t="str">
        <f ca="1">+INDEX(Idiomas!$D$202:$D$249,MATCH(T_Equipos[[#This Row],[Num]],Idiomas!$C$202:$C$249,0))</f>
        <v>Canada</v>
      </c>
      <c r="C6" s="9" t="s">
        <v>90</v>
      </c>
      <c r="D6" s="9">
        <v>1</v>
      </c>
      <c r="E6" s="9"/>
      <c r="F6" s="9" t="s">
        <v>117</v>
      </c>
      <c r="G6" s="9"/>
      <c r="H6" s="9"/>
      <c r="I6" s="9"/>
      <c r="J6" s="9"/>
      <c r="K6" s="9" t="str">
        <f ca="1">Idiomas!D206</f>
        <v>Australia</v>
      </c>
      <c r="L6" s="9" t="s">
        <v>1416</v>
      </c>
      <c r="M6" s="9" t="e" vm="57">
        <v>#VALUE!</v>
      </c>
    </row>
    <row r="7" spans="1:18 8826:8826" ht="15" customHeight="1">
      <c r="A7" s="9">
        <v>6</v>
      </c>
      <c r="B7" s="9" t="str">
        <f ca="1">+INDEX(Idiomas!$D$202:$D$249,MATCH(T_Equipos[[#This Row],[Num]],Idiomas!$C$202:$C$249,0))</f>
        <v>Bosnia and Herzegovina</v>
      </c>
      <c r="C7" s="9" t="s">
        <v>90</v>
      </c>
      <c r="D7" s="9">
        <v>2</v>
      </c>
      <c r="E7" s="9"/>
      <c r="F7" s="9" t="s">
        <v>126</v>
      </c>
      <c r="G7" s="9"/>
      <c r="H7" s="9"/>
      <c r="I7" s="9"/>
      <c r="J7" s="9"/>
      <c r="K7" s="9" t="str">
        <f ca="1">Idiomas!D207</f>
        <v>Austria</v>
      </c>
      <c r="L7" s="618" t="s">
        <v>1417</v>
      </c>
      <c r="M7" s="618" t="e" vm="58">
        <v>#VALUE!</v>
      </c>
    </row>
    <row r="8" spans="1:18 8826:8826" ht="15" customHeight="1">
      <c r="A8" s="9">
        <v>7</v>
      </c>
      <c r="B8" s="9" t="str">
        <f ca="1">+INDEX(Idiomas!$D$202:$D$249,MATCH(T_Equipos[[#This Row],[Num]],Idiomas!$C$202:$C$249,0))</f>
        <v>Qatar</v>
      </c>
      <c r="C8" s="9" t="s">
        <v>90</v>
      </c>
      <c r="D8" s="9">
        <v>3</v>
      </c>
      <c r="E8" s="9"/>
      <c r="F8" s="9" t="s">
        <v>135</v>
      </c>
      <c r="G8" s="9"/>
      <c r="H8" s="9"/>
      <c r="I8" s="9"/>
      <c r="J8" s="9"/>
      <c r="K8" s="9" t="str">
        <f ca="1">Idiomas!D208</f>
        <v>Belgium</v>
      </c>
      <c r="L8" s="9" t="s">
        <v>1418</v>
      </c>
      <c r="M8" s="9" t="e" vm="59">
        <v>#VALUE!</v>
      </c>
    </row>
    <row r="9" spans="1:18 8826:8826" ht="15" customHeight="1">
      <c r="A9" s="9">
        <v>8</v>
      </c>
      <c r="B9" s="9" t="str">
        <f ca="1">+INDEX(Idiomas!$D$202:$D$249,MATCH(T_Equipos[[#This Row],[Num]],Idiomas!$C$202:$C$249,0))</f>
        <v>Switzerland</v>
      </c>
      <c r="C9" s="9" t="s">
        <v>90</v>
      </c>
      <c r="D9" s="9">
        <v>4</v>
      </c>
      <c r="E9" s="9"/>
      <c r="F9" s="9" t="s">
        <v>140</v>
      </c>
      <c r="G9" s="9"/>
      <c r="H9" s="9"/>
      <c r="I9" s="9"/>
      <c r="J9" s="9"/>
      <c r="K9" s="9" t="str">
        <f ca="1">Idiomas!D209</f>
        <v>Brazil</v>
      </c>
      <c r="L9" s="9" t="s">
        <v>1419</v>
      </c>
      <c r="M9" s="9" t="e" vm="60">
        <v>#VALUE!</v>
      </c>
    </row>
    <row r="10" spans="1:18 8826:8826" ht="15" customHeight="1">
      <c r="A10" s="9">
        <v>9</v>
      </c>
      <c r="B10" s="9" t="str">
        <f ca="1">+INDEX(Idiomas!$D$202:$D$249,MATCH(T_Equipos[[#This Row],[Num]],Idiomas!$C$202:$C$249,0))</f>
        <v>Brazil</v>
      </c>
      <c r="C10" s="9" t="s">
        <v>99</v>
      </c>
      <c r="D10" s="9">
        <v>1</v>
      </c>
      <c r="E10" s="9"/>
      <c r="F10" s="9" t="s">
        <v>141</v>
      </c>
      <c r="G10" s="9"/>
      <c r="H10" s="9"/>
      <c r="I10" s="9"/>
      <c r="J10" s="9"/>
      <c r="K10" s="9" t="str">
        <f ca="1">Idiomas!D210</f>
        <v>Cape Verde</v>
      </c>
      <c r="L10" s="9" t="s">
        <v>1420</v>
      </c>
      <c r="M10" s="9" t="e" vm="61">
        <v>#VALUE!</v>
      </c>
    </row>
    <row r="11" spans="1:18 8826:8826" ht="15" customHeight="1">
      <c r="A11" s="9">
        <v>10</v>
      </c>
      <c r="B11" s="9" t="str">
        <f ca="1">+INDEX(Idiomas!$D$202:$D$249,MATCH(T_Equipos[[#This Row],[Num]],Idiomas!$C$202:$C$249,0))</f>
        <v>Morocco</v>
      </c>
      <c r="C11" s="9" t="s">
        <v>99</v>
      </c>
      <c r="D11" s="9">
        <v>2</v>
      </c>
      <c r="E11" s="9"/>
      <c r="F11" s="9" t="s">
        <v>142</v>
      </c>
      <c r="G11" s="9"/>
      <c r="H11" s="9"/>
      <c r="I11" s="9"/>
      <c r="J11" s="9"/>
      <c r="K11" s="9" t="str">
        <f ca="1">Idiomas!D211</f>
        <v>Canada</v>
      </c>
      <c r="L11" s="9" t="s">
        <v>1421</v>
      </c>
      <c r="M11" s="9" t="e" vm="62">
        <v>#VALUE!</v>
      </c>
    </row>
    <row r="12" spans="1:18 8826:8826" ht="15" customHeight="1">
      <c r="A12" s="9">
        <v>11</v>
      </c>
      <c r="B12" s="9" t="str">
        <f ca="1">+INDEX(Idiomas!$D$202:$D$249,MATCH(T_Equipos[[#This Row],[Num]],Idiomas!$C$202:$C$249,0))</f>
        <v>Haiti</v>
      </c>
      <c r="C12" s="9" t="s">
        <v>99</v>
      </c>
      <c r="D12" s="9">
        <v>3</v>
      </c>
      <c r="E12" s="9"/>
      <c r="F12" s="9" t="s">
        <v>143</v>
      </c>
      <c r="G12" s="9"/>
      <c r="H12" s="9"/>
      <c r="I12" s="9"/>
      <c r="J12" s="9"/>
      <c r="K12" s="9" t="str">
        <f ca="1">Idiomas!D212</f>
        <v>Qatar</v>
      </c>
      <c r="L12" s="9" t="s">
        <v>1422</v>
      </c>
      <c r="M12" s="9" t="e" vm="63">
        <v>#VALUE!</v>
      </c>
    </row>
    <row r="13" spans="1:18 8826:8826" ht="15" customHeight="1">
      <c r="A13" s="9">
        <v>12</v>
      </c>
      <c r="B13" s="9" t="str">
        <f ca="1">+INDEX(Idiomas!$D$202:$D$249,MATCH(T_Equipos[[#This Row],[Num]],Idiomas!$C$202:$C$249,0))</f>
        <v>Scotland</v>
      </c>
      <c r="C13" s="9" t="s">
        <v>99</v>
      </c>
      <c r="D13" s="9">
        <v>4</v>
      </c>
      <c r="E13" s="9"/>
      <c r="F13" s="9" t="s">
        <v>144</v>
      </c>
      <c r="G13" s="9"/>
      <c r="H13" s="9"/>
      <c r="I13" s="9"/>
      <c r="J13" s="9"/>
      <c r="K13" s="9" t="str">
        <f ca="1">Idiomas!D213</f>
        <v>Colombia</v>
      </c>
      <c r="L13" s="9" t="s">
        <v>1423</v>
      </c>
      <c r="M13" s="9" t="e" vm="64">
        <v>#VALUE!</v>
      </c>
    </row>
    <row r="14" spans="1:18 8826:8826" ht="15" customHeight="1">
      <c r="A14" s="9">
        <v>13</v>
      </c>
      <c r="B14" s="9" t="str">
        <f ca="1">+INDEX(Idiomas!$D$202:$D$249,MATCH(T_Equipos[[#This Row],[Num]],Idiomas!$C$202:$C$249,0))</f>
        <v>United States</v>
      </c>
      <c r="C14" s="9" t="s">
        <v>108</v>
      </c>
      <c r="D14" s="9">
        <v>1</v>
      </c>
      <c r="E14" s="9"/>
      <c r="F14" s="9"/>
      <c r="G14" s="9"/>
      <c r="H14" s="9"/>
      <c r="I14" s="9"/>
      <c r="J14" s="9"/>
      <c r="K14" s="9" t="str">
        <f ca="1">Idiomas!D214</f>
        <v>South Korea</v>
      </c>
      <c r="L14" s="9" t="s">
        <v>1424</v>
      </c>
      <c r="M14" s="9" t="e" vm="65">
        <v>#VALUE!</v>
      </c>
    </row>
    <row r="15" spans="1:18 8826:8826" ht="15" customHeight="1">
      <c r="A15" s="9">
        <v>14</v>
      </c>
      <c r="B15" s="9" t="str">
        <f ca="1">+INDEX(Idiomas!$D$202:$D$249,MATCH(T_Equipos[[#This Row],[Num]],Idiomas!$C$202:$C$249,0))</f>
        <v>Paraguay</v>
      </c>
      <c r="C15" s="9" t="s">
        <v>108</v>
      </c>
      <c r="D15" s="9">
        <v>2</v>
      </c>
      <c r="E15" s="9"/>
      <c r="F15" s="9"/>
      <c r="G15" s="9"/>
      <c r="H15" s="9"/>
      <c r="I15" s="9"/>
      <c r="J15" s="9"/>
      <c r="K15" s="9" t="str">
        <f ca="1">Idiomas!D215</f>
        <v>Ivory Coast</v>
      </c>
      <c r="L15" s="9" t="s">
        <v>1425</v>
      </c>
      <c r="M15" s="9" t="e" vm="66">
        <v>#VALUE!</v>
      </c>
      <c r="P15" s="619"/>
      <c r="Q15" s="619"/>
      <c r="R15" s="619"/>
    </row>
    <row r="16" spans="1:18 8826:8826" ht="15" customHeight="1">
      <c r="A16" s="9">
        <v>15</v>
      </c>
      <c r="B16" s="9" t="str">
        <f ca="1">+INDEX(Idiomas!$D$202:$D$249,MATCH(T_Equipos[[#This Row],[Num]],Idiomas!$C$202:$C$249,0))</f>
        <v>Australia</v>
      </c>
      <c r="C16" s="9" t="s">
        <v>108</v>
      </c>
      <c r="D16" s="9">
        <v>3</v>
      </c>
      <c r="E16" s="9"/>
      <c r="F16" s="9"/>
      <c r="G16" s="9"/>
      <c r="H16" s="9"/>
      <c r="I16" s="9"/>
      <c r="J16" s="9"/>
      <c r="K16" s="9" t="str">
        <f ca="1">Idiomas!D216</f>
        <v>Croatia</v>
      </c>
      <c r="L16" s="9" t="s">
        <v>1426</v>
      </c>
      <c r="M16" s="9" t="e" vm="67">
        <v>#VALUE!</v>
      </c>
    </row>
    <row r="17" spans="1:331 8826:8826" ht="15" customHeight="1">
      <c r="A17" s="9">
        <v>16</v>
      </c>
      <c r="B17" s="9" t="str">
        <f ca="1">+INDEX(Idiomas!$D$202:$D$249,MATCH(T_Equipos[[#This Row],[Num]],Idiomas!$C$202:$C$249,0))</f>
        <v>Turkey</v>
      </c>
      <c r="C17" s="9" t="s">
        <v>108</v>
      </c>
      <c r="D17" s="9">
        <v>4</v>
      </c>
      <c r="E17" s="9"/>
      <c r="F17" s="9"/>
      <c r="G17" s="9"/>
      <c r="H17" s="9"/>
      <c r="I17" s="9"/>
      <c r="J17" s="9"/>
      <c r="K17" s="9" t="str">
        <f ca="1">Idiomas!D217</f>
        <v>Curaçao</v>
      </c>
      <c r="L17" s="9" t="s">
        <v>1427</v>
      </c>
      <c r="M17" s="9" t="e" vm="68">
        <v>#VALUE!</v>
      </c>
    </row>
    <row r="18" spans="1:331 8826:8826" ht="15" customHeight="1">
      <c r="A18" s="9">
        <v>17</v>
      </c>
      <c r="B18" s="9" t="str">
        <f ca="1">+INDEX(Idiomas!$D$202:$D$249,MATCH(T_Equipos[[#This Row],[Num]],Idiomas!$C$202:$C$249,0))</f>
        <v>Germany</v>
      </c>
      <c r="C18" s="9" t="s">
        <v>117</v>
      </c>
      <c r="D18" s="9">
        <v>1</v>
      </c>
      <c r="E18" s="9"/>
      <c r="F18" s="9"/>
      <c r="G18" s="9"/>
      <c r="H18" s="9"/>
      <c r="I18" s="9"/>
      <c r="J18" s="9"/>
      <c r="K18" s="9" t="str">
        <f ca="1">Idiomas!D218</f>
        <v>Ecuador</v>
      </c>
      <c r="L18" s="9" t="s">
        <v>1428</v>
      </c>
      <c r="M18" s="9" t="e" vm="69">
        <v>#VALUE!</v>
      </c>
    </row>
    <row r="19" spans="1:331 8826:8826" ht="15" customHeight="1">
      <c r="A19" s="9">
        <v>18</v>
      </c>
      <c r="B19" s="9" t="str">
        <f ca="1">+INDEX(Idiomas!$D$202:$D$249,MATCH(T_Equipos[[#This Row],[Num]],Idiomas!$C$202:$C$249,0))</f>
        <v>Curaçao</v>
      </c>
      <c r="C19" s="9" t="s">
        <v>117</v>
      </c>
      <c r="D19" s="9">
        <v>2</v>
      </c>
      <c r="E19" s="9"/>
      <c r="F19" s="9"/>
      <c r="G19" s="9"/>
      <c r="H19" s="9"/>
      <c r="I19" s="9"/>
      <c r="J19" s="9"/>
      <c r="K19" s="9" t="str">
        <f ca="1">Idiomas!D219</f>
        <v>Egypt</v>
      </c>
      <c r="L19" s="9" t="s">
        <v>1429</v>
      </c>
      <c r="M19" s="9" t="e" vm="70">
        <v>#VALUE!</v>
      </c>
    </row>
    <row r="20" spans="1:331 8826:8826" ht="15" customHeight="1">
      <c r="A20" s="9">
        <v>19</v>
      </c>
      <c r="B20" s="9" t="str">
        <f ca="1">+INDEX(Idiomas!$D$202:$D$249,MATCH(T_Equipos[[#This Row],[Num]],Idiomas!$C$202:$C$249,0))</f>
        <v>Ivory Coast</v>
      </c>
      <c r="C20" s="9" t="s">
        <v>117</v>
      </c>
      <c r="D20" s="9">
        <v>3</v>
      </c>
      <c r="E20" s="9"/>
      <c r="F20" s="9"/>
      <c r="G20" s="9"/>
      <c r="H20" s="9"/>
      <c r="I20" s="9"/>
      <c r="J20" s="9"/>
      <c r="K20" s="9" t="str">
        <f ca="1">Idiomas!D220</f>
        <v>Scotland</v>
      </c>
      <c r="L20" s="9" t="s">
        <v>1430</v>
      </c>
      <c r="M20" s="9" t="e" vm="71">
        <v>#VALUE!</v>
      </c>
    </row>
    <row r="21" spans="1:331 8826:8826" ht="15" customHeight="1">
      <c r="A21" s="9">
        <v>20</v>
      </c>
      <c r="B21" s="9" t="str">
        <f ca="1">+INDEX(Idiomas!$D$202:$D$249,MATCH(T_Equipos[[#This Row],[Num]],Idiomas!$C$202:$C$249,0))</f>
        <v>Ecuador</v>
      </c>
      <c r="C21" s="9" t="s">
        <v>117</v>
      </c>
      <c r="D21" s="9">
        <v>4</v>
      </c>
      <c r="E21" s="9"/>
      <c r="F21" s="9"/>
      <c r="G21" s="9"/>
      <c r="H21" s="9"/>
      <c r="I21" s="9"/>
      <c r="J21" s="9"/>
      <c r="K21" s="9" t="str">
        <f ca="1">Idiomas!D221</f>
        <v>Spain</v>
      </c>
      <c r="L21" s="9" t="s">
        <v>1431</v>
      </c>
      <c r="M21" s="9" t="e" vm="72">
        <v>#VALUE!</v>
      </c>
    </row>
    <row r="22" spans="1:331 8826:8826" ht="15" customHeight="1">
      <c r="A22" s="9">
        <v>21</v>
      </c>
      <c r="B22" s="9" t="str">
        <f ca="1">+INDEX(Idiomas!$D$202:$D$249,MATCH(T_Equipos[[#This Row],[Num]],Idiomas!$C$202:$C$249,0))</f>
        <v>Netherlands</v>
      </c>
      <c r="C22" s="9" t="s">
        <v>126</v>
      </c>
      <c r="D22" s="9">
        <v>1</v>
      </c>
      <c r="E22" s="9"/>
      <c r="F22" s="9"/>
      <c r="G22" s="9"/>
      <c r="H22" s="9"/>
      <c r="I22" s="9"/>
      <c r="J22" s="9"/>
      <c r="K22" s="9" t="str">
        <f ca="1">Idiomas!D222</f>
        <v>United States</v>
      </c>
      <c r="L22" s="9" t="s">
        <v>1432</v>
      </c>
      <c r="M22" s="9" t="e" vm="73">
        <v>#VALUE!</v>
      </c>
    </row>
    <row r="23" spans="1:331 8826:8826" ht="15" customHeight="1">
      <c r="A23" s="9">
        <v>22</v>
      </c>
      <c r="B23" s="9" t="str">
        <f ca="1">+INDEX(Idiomas!$D$202:$D$249,MATCH(T_Equipos[[#This Row],[Num]],Idiomas!$C$202:$C$249,0))</f>
        <v>Japan</v>
      </c>
      <c r="C23" s="9" t="s">
        <v>126</v>
      </c>
      <c r="D23" s="9">
        <v>2</v>
      </c>
      <c r="E23" s="9"/>
      <c r="F23" s="9"/>
      <c r="G23" s="9"/>
      <c r="H23" s="9"/>
      <c r="I23" s="9"/>
      <c r="J23" s="9"/>
      <c r="K23" s="9" t="str">
        <f ca="1">Idiomas!D223</f>
        <v>France</v>
      </c>
      <c r="L23" s="9" t="s">
        <v>1433</v>
      </c>
      <c r="M23" s="9" t="e" vm="74">
        <v>#VALUE!</v>
      </c>
    </row>
    <row r="24" spans="1:331 8826:8826" ht="15" customHeight="1">
      <c r="A24" s="9">
        <v>23</v>
      </c>
      <c r="B24" s="9" t="str">
        <f ca="1">+INDEX(Idiomas!$D$202:$D$249,MATCH(T_Equipos[[#This Row],[Num]],Idiomas!$C$202:$C$249,0))</f>
        <v>Sweden</v>
      </c>
      <c r="C24" s="9" t="s">
        <v>126</v>
      </c>
      <c r="D24" s="9">
        <v>3</v>
      </c>
      <c r="E24" s="9"/>
      <c r="F24" s="9"/>
      <c r="G24" s="9"/>
      <c r="H24" s="9"/>
      <c r="I24" s="9"/>
      <c r="J24" s="9"/>
      <c r="K24" s="9" t="str">
        <f ca="1">Idiomas!D224</f>
        <v>Ghana</v>
      </c>
      <c r="L24" s="9" t="s">
        <v>1434</v>
      </c>
      <c r="M24" s="9" t="e" vm="75">
        <v>#VALUE!</v>
      </c>
    </row>
    <row r="25" spans="1:331 8826:8826" ht="15" customHeight="1">
      <c r="A25" s="9">
        <v>24</v>
      </c>
      <c r="B25" s="9" t="str">
        <f ca="1">+INDEX(Idiomas!$D$202:$D$249,MATCH(T_Equipos[[#This Row],[Num]],Idiomas!$C$202:$C$249,0))</f>
        <v>Tunisia</v>
      </c>
      <c r="C25" s="9" t="s">
        <v>126</v>
      </c>
      <c r="D25" s="9">
        <v>4</v>
      </c>
      <c r="E25" s="9"/>
      <c r="F25" s="9"/>
      <c r="G25" s="9"/>
      <c r="H25" s="9"/>
      <c r="I25" s="9"/>
      <c r="J25" s="9"/>
      <c r="K25" s="9" t="str">
        <f ca="1">Idiomas!D225</f>
        <v>Haiti</v>
      </c>
      <c r="L25" s="9" t="s">
        <v>1435</v>
      </c>
      <c r="M25" s="9" t="e" vm="76">
        <v>#VALUE!</v>
      </c>
    </row>
    <row r="26" spans="1:331 8826:8826" ht="15" customHeight="1">
      <c r="A26" s="9">
        <v>25</v>
      </c>
      <c r="B26" s="9" t="str">
        <f ca="1">+INDEX(Idiomas!$D$202:$D$249,MATCH(T_Equipos[[#This Row],[Num]],Idiomas!$C$202:$C$249,0))</f>
        <v>Belgium</v>
      </c>
      <c r="C26" s="9" t="s">
        <v>135</v>
      </c>
      <c r="D26" s="9">
        <v>1</v>
      </c>
      <c r="E26" s="9"/>
      <c r="F26" s="9"/>
      <c r="G26" s="9"/>
      <c r="H26" s="9"/>
      <c r="I26" s="9"/>
      <c r="J26" s="9"/>
      <c r="K26" s="9" t="str">
        <f ca="1">Idiomas!D226</f>
        <v>England</v>
      </c>
      <c r="L26" s="9" t="s">
        <v>1436</v>
      </c>
      <c r="M26" s="9" t="e" vm="77">
        <v>#VALUE!</v>
      </c>
    </row>
    <row r="27" spans="1:331 8826:8826" ht="15" customHeight="1">
      <c r="A27" s="9">
        <v>26</v>
      </c>
      <c r="B27" s="9" t="str">
        <f ca="1">+INDEX(Idiomas!$D$202:$D$249,MATCH(T_Equipos[[#This Row],[Num]],Idiomas!$C$202:$C$249,0))</f>
        <v>Egypt</v>
      </c>
      <c r="C27" s="9" t="s">
        <v>135</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135</v>
      </c>
      <c r="D28" s="9">
        <v>3</v>
      </c>
      <c r="E28" s="9"/>
      <c r="F28" s="9"/>
      <c r="G28" s="9"/>
      <c r="H28" s="9"/>
      <c r="I28" s="9"/>
      <c r="J28" s="9"/>
      <c r="K28" s="9" t="str">
        <f ca="1">Idiomas!D228</f>
        <v>Japan</v>
      </c>
      <c r="L28" s="9" t="s">
        <v>1437</v>
      </c>
      <c r="M28" s="9" t="e" vm="78">
        <v>#VALUE!</v>
      </c>
      <c r="LS28" s="617" t="s">
        <v>1412</v>
      </c>
      <c r="MAL28" s="617" t="s">
        <v>1412</v>
      </c>
    </row>
    <row r="29" spans="1:331 8826:8826" ht="15" customHeight="1">
      <c r="A29" s="9">
        <v>28</v>
      </c>
      <c r="B29" s="9" t="str">
        <f ca="1">+INDEX(Idiomas!$D$202:$D$249,MATCH(T_Equipos[[#This Row],[Num]],Idiomas!$C$202:$C$249,0))</f>
        <v>New Zealand</v>
      </c>
      <c r="C29" s="9" t="s">
        <v>135</v>
      </c>
      <c r="D29" s="9">
        <v>4</v>
      </c>
      <c r="E29" s="9"/>
      <c r="F29" s="9"/>
      <c r="G29" s="9"/>
      <c r="H29" s="9"/>
      <c r="I29" s="9"/>
      <c r="J29" s="9"/>
      <c r="K29" s="9" t="str">
        <f ca="1">Idiomas!D229</f>
        <v>Jordan</v>
      </c>
      <c r="L29" s="9" t="s">
        <v>1438</v>
      </c>
      <c r="M29" s="9" t="e" vm="79">
        <v>#VALUE!</v>
      </c>
    </row>
    <row r="30" spans="1:331 8826:8826" ht="15" customHeight="1">
      <c r="A30" s="9">
        <v>29</v>
      </c>
      <c r="B30" s="9" t="str">
        <f ca="1">+INDEX(Idiomas!$D$202:$D$249,MATCH(T_Equipos[[#This Row],[Num]],Idiomas!$C$202:$C$249,0))</f>
        <v>Spain</v>
      </c>
      <c r="C30" s="9" t="s">
        <v>140</v>
      </c>
      <c r="D30" s="9">
        <v>1</v>
      </c>
      <c r="E30" s="9"/>
      <c r="F30" s="9"/>
      <c r="G30" s="9"/>
      <c r="H30" s="9"/>
      <c r="I30" s="9"/>
      <c r="J30" s="9"/>
      <c r="K30" s="9" t="str">
        <f ca="1">Idiomas!D230</f>
        <v>Morocco</v>
      </c>
      <c r="L30" s="9" t="s">
        <v>1439</v>
      </c>
      <c r="M30" s="9" t="e" vm="80">
        <v>#VALUE!</v>
      </c>
    </row>
    <row r="31" spans="1:331 8826:8826" ht="15" customHeight="1">
      <c r="A31" s="9">
        <v>30</v>
      </c>
      <c r="B31" s="9" t="str">
        <f ca="1">+INDEX(Idiomas!$D$202:$D$249,MATCH(T_Equipos[[#This Row],[Num]],Idiomas!$C$202:$C$249,0))</f>
        <v>Cape Verde</v>
      </c>
      <c r="C31" s="9" t="s">
        <v>140</v>
      </c>
      <c r="D31" s="9">
        <v>2</v>
      </c>
      <c r="E31" s="9"/>
      <c r="F31" s="9"/>
      <c r="G31" s="9"/>
      <c r="H31" s="9"/>
      <c r="I31" s="9"/>
      <c r="J31" s="9"/>
      <c r="K31" s="9" t="str">
        <f ca="1">Idiomas!D231</f>
        <v>Mexico</v>
      </c>
      <c r="L31" s="9" t="s">
        <v>1440</v>
      </c>
      <c r="M31" s="9" t="e" vm="81">
        <v>#VALUE!</v>
      </c>
    </row>
    <row r="32" spans="1:331 8826:8826" ht="15" customHeight="1">
      <c r="A32" s="9">
        <v>31</v>
      </c>
      <c r="B32" s="9" t="str">
        <f ca="1">+INDEX(Idiomas!$D$202:$D$249,MATCH(T_Equipos[[#This Row],[Num]],Idiomas!$C$202:$C$249,0))</f>
        <v>Saudi Arabia</v>
      </c>
      <c r="C32" s="9" t="s">
        <v>140</v>
      </c>
      <c r="D32" s="9">
        <v>3</v>
      </c>
      <c r="E32" s="9"/>
      <c r="F32" s="9"/>
      <c r="G32" s="9"/>
      <c r="H32" s="9"/>
      <c r="I32" s="9"/>
      <c r="J32" s="9"/>
      <c r="K32" s="9" t="str">
        <f ca="1">Idiomas!D232</f>
        <v>Norway</v>
      </c>
      <c r="L32" s="9" t="s">
        <v>1441</v>
      </c>
      <c r="M32" s="9" t="e" vm="82">
        <v>#VALUE!</v>
      </c>
    </row>
    <row r="33" spans="1:13" ht="15" customHeight="1">
      <c r="A33" s="9">
        <v>32</v>
      </c>
      <c r="B33" s="9" t="str">
        <f ca="1">+INDEX(Idiomas!$D$202:$D$249,MATCH(T_Equipos[[#This Row],[Num]],Idiomas!$C$202:$C$249,0))</f>
        <v>Uruguay</v>
      </c>
      <c r="C33" s="9" t="s">
        <v>140</v>
      </c>
      <c r="D33" s="9">
        <v>4</v>
      </c>
      <c r="E33" s="9"/>
      <c r="F33" s="9"/>
      <c r="G33" s="9"/>
      <c r="H33" s="9"/>
      <c r="I33" s="9"/>
      <c r="J33" s="9"/>
      <c r="K33" s="9" t="str">
        <f ca="1">Idiomas!D233</f>
        <v>New Zealand</v>
      </c>
      <c r="L33" s="9" t="s">
        <v>1442</v>
      </c>
      <c r="M33" s="9" t="e" vm="83">
        <v>#VALUE!</v>
      </c>
    </row>
    <row r="34" spans="1:13" ht="15" customHeight="1">
      <c r="A34" s="9">
        <v>33</v>
      </c>
      <c r="B34" s="9" t="str">
        <f ca="1">+INDEX(Idiomas!$D$202:$D$249,MATCH(T_Equipos[[#This Row],[Num]],Idiomas!$C$202:$C$249,0))</f>
        <v>France</v>
      </c>
      <c r="C34" s="9" t="s">
        <v>141</v>
      </c>
      <c r="D34" s="9">
        <v>1</v>
      </c>
      <c r="E34" s="9"/>
      <c r="F34" s="9"/>
      <c r="G34" s="9"/>
      <c r="H34" s="9"/>
      <c r="I34" s="9"/>
      <c r="J34" s="9"/>
      <c r="K34" s="9" t="str">
        <f ca="1">Idiomas!D234</f>
        <v>Netherlands</v>
      </c>
      <c r="L34" s="9" t="s">
        <v>1443</v>
      </c>
      <c r="M34" s="9" t="e" vm="84">
        <v>#VALUE!</v>
      </c>
    </row>
    <row r="35" spans="1:13" ht="15" customHeight="1">
      <c r="A35" s="9">
        <v>34</v>
      </c>
      <c r="B35" s="9" t="str">
        <f ca="1">+INDEX(Idiomas!$D$202:$D$249,MATCH(T_Equipos[[#This Row],[Num]],Idiomas!$C$202:$C$249,0))</f>
        <v>Senegal</v>
      </c>
      <c r="C35" s="9" t="s">
        <v>141</v>
      </c>
      <c r="D35" s="9">
        <v>2</v>
      </c>
      <c r="E35" s="9"/>
      <c r="F35" s="9"/>
      <c r="G35" s="9"/>
      <c r="H35" s="9"/>
      <c r="I35" s="9"/>
      <c r="J35" s="9"/>
      <c r="K35" s="9" t="str">
        <f ca="1">Idiomas!D235</f>
        <v>Panama</v>
      </c>
      <c r="L35" s="9" t="s">
        <v>1444</v>
      </c>
      <c r="M35" s="9" t="e" vm="85">
        <v>#VALUE!</v>
      </c>
    </row>
    <row r="36" spans="1:13" ht="15" customHeight="1">
      <c r="A36" s="9">
        <v>35</v>
      </c>
      <c r="B36" s="9" t="str">
        <f ca="1">+INDEX(Idiomas!$D$202:$D$249,MATCH(T_Equipos[[#This Row],[Num]],Idiomas!$C$202:$C$249,0))</f>
        <v>Iraq</v>
      </c>
      <c r="C36" s="9" t="s">
        <v>141</v>
      </c>
      <c r="D36" s="9">
        <v>3</v>
      </c>
      <c r="E36" s="9"/>
      <c r="F36" s="9"/>
      <c r="G36" s="9"/>
      <c r="H36" s="9"/>
      <c r="I36" s="9"/>
      <c r="J36" s="9"/>
      <c r="K36" s="9" t="str">
        <f ca="1">Idiomas!D236</f>
        <v>Paraguay</v>
      </c>
      <c r="L36" s="9" t="s">
        <v>1445</v>
      </c>
      <c r="M36" s="9" t="e" vm="86">
        <v>#VALUE!</v>
      </c>
    </row>
    <row r="37" spans="1:13" ht="15" customHeight="1">
      <c r="A37" s="9">
        <v>36</v>
      </c>
      <c r="B37" s="9" t="str">
        <f ca="1">+INDEX(Idiomas!$D$202:$D$249,MATCH(T_Equipos[[#This Row],[Num]],Idiomas!$C$202:$C$249,0))</f>
        <v>Norway</v>
      </c>
      <c r="C37" s="9" t="s">
        <v>141</v>
      </c>
      <c r="D37" s="9">
        <v>4</v>
      </c>
      <c r="E37" s="9"/>
      <c r="F37" s="9"/>
      <c r="G37" s="9"/>
      <c r="H37" s="9"/>
      <c r="I37" s="9"/>
      <c r="J37" s="9"/>
      <c r="K37" s="9" t="str">
        <f ca="1">Idiomas!D237</f>
        <v>Portugal</v>
      </c>
      <c r="L37" s="9" t="s">
        <v>1446</v>
      </c>
      <c r="M37" s="9" t="e" vm="87">
        <v>#VALUE!</v>
      </c>
    </row>
    <row r="38" spans="1:13" ht="15" customHeight="1">
      <c r="A38" s="9">
        <v>37</v>
      </c>
      <c r="B38" s="9" t="str">
        <f ca="1">+INDEX(Idiomas!$D$202:$D$249,MATCH(T_Equipos[[#This Row],[Num]],Idiomas!$C$202:$C$249,0))</f>
        <v>Argentina</v>
      </c>
      <c r="C38" s="9" t="s">
        <v>142</v>
      </c>
      <c r="D38" s="9">
        <v>1</v>
      </c>
      <c r="E38" s="9"/>
      <c r="F38" s="9"/>
      <c r="G38" s="9"/>
      <c r="H38" s="9"/>
      <c r="I38" s="9"/>
      <c r="J38" s="9"/>
      <c r="K38" s="9" t="str">
        <f ca="1">Idiomas!D238</f>
        <v>Senegal</v>
      </c>
      <c r="L38" s="9" t="s">
        <v>1447</v>
      </c>
      <c r="M38" s="9" t="e" vm="88">
        <v>#VALUE!</v>
      </c>
    </row>
    <row r="39" spans="1:13" ht="15" customHeight="1">
      <c r="A39" s="9">
        <v>38</v>
      </c>
      <c r="B39" s="9" t="str">
        <f ca="1">+INDEX(Idiomas!$D$202:$D$249,MATCH(T_Equipos[[#This Row],[Num]],Idiomas!$C$202:$C$249,0))</f>
        <v>Algeria</v>
      </c>
      <c r="C39" s="9" t="s">
        <v>142</v>
      </c>
      <c r="D39" s="9">
        <v>2</v>
      </c>
      <c r="E39" s="9"/>
      <c r="F39" s="9"/>
      <c r="G39" s="9"/>
      <c r="H39" s="9"/>
      <c r="I39" s="9"/>
      <c r="J39" s="9"/>
      <c r="K39" s="9" t="str">
        <f ca="1">Idiomas!D239</f>
        <v>South Africa</v>
      </c>
      <c r="L39" s="9" t="s">
        <v>1448</v>
      </c>
      <c r="M39" s="9" t="e" vm="89">
        <v>#VALUE!</v>
      </c>
    </row>
    <row r="40" spans="1:13" ht="15" customHeight="1">
      <c r="A40" s="9">
        <v>39</v>
      </c>
      <c r="B40" s="9" t="str">
        <f ca="1">+INDEX(Idiomas!$D$202:$D$249,MATCH(T_Equipos[[#This Row],[Num]],Idiomas!$C$202:$C$249,0))</f>
        <v>Austria</v>
      </c>
      <c r="C40" s="9" t="s">
        <v>142</v>
      </c>
      <c r="D40" s="9">
        <v>3</v>
      </c>
      <c r="E40" s="9"/>
      <c r="F40" s="9"/>
      <c r="G40" s="9"/>
      <c r="H40" s="9"/>
      <c r="I40" s="9"/>
      <c r="J40" s="9"/>
      <c r="K40" s="9" t="str">
        <f ca="1">Idiomas!D240</f>
        <v>Switzerland</v>
      </c>
      <c r="L40" s="9" t="s">
        <v>1449</v>
      </c>
      <c r="M40" s="9" t="e" vm="90">
        <v>#VALUE!</v>
      </c>
    </row>
    <row r="41" spans="1:13" ht="15" customHeight="1">
      <c r="A41" s="9">
        <v>40</v>
      </c>
      <c r="B41" s="9" t="str">
        <f ca="1">+INDEX(Idiomas!$D$202:$D$249,MATCH(T_Equipos[[#This Row],[Num]],Idiomas!$C$202:$C$249,0))</f>
        <v>Jordan</v>
      </c>
      <c r="C41" s="9" t="s">
        <v>142</v>
      </c>
      <c r="D41" s="9">
        <v>4</v>
      </c>
      <c r="E41" s="9"/>
      <c r="F41" s="9"/>
      <c r="G41" s="9"/>
      <c r="H41" s="9"/>
      <c r="I41" s="9"/>
      <c r="J41" s="9"/>
      <c r="K41" s="9" t="str">
        <f ca="1">Idiomas!D241</f>
        <v>Tunisia</v>
      </c>
      <c r="L41" s="9" t="s">
        <v>1450</v>
      </c>
      <c r="M41" s="9" t="e" vm="91">
        <v>#VALUE!</v>
      </c>
    </row>
    <row r="42" spans="1:13" ht="15" customHeight="1">
      <c r="A42" s="9">
        <v>41</v>
      </c>
      <c r="B42" s="9" t="str">
        <f ca="1">+INDEX(Idiomas!$D$202:$D$249,MATCH(T_Equipos[[#This Row],[Num]],Idiomas!$C$202:$C$249,0))</f>
        <v>Portugal</v>
      </c>
      <c r="C42" s="9" t="s">
        <v>143</v>
      </c>
      <c r="D42" s="9">
        <v>1</v>
      </c>
      <c r="E42" s="9"/>
      <c r="F42" s="9"/>
      <c r="G42" s="9"/>
      <c r="H42" s="9"/>
      <c r="I42" s="9"/>
      <c r="J42" s="9"/>
      <c r="K42" s="9" t="str">
        <f ca="1">Idiomas!D242</f>
        <v>Uruguay</v>
      </c>
      <c r="L42" s="9" t="s">
        <v>1451</v>
      </c>
      <c r="M42" s="9" t="e" vm="92">
        <v>#VALUE!</v>
      </c>
    </row>
    <row r="43" spans="1:13" ht="15" customHeight="1">
      <c r="A43" s="9">
        <v>42</v>
      </c>
      <c r="B43" s="9" t="str">
        <f ca="1">+INDEX(Idiomas!$D$202:$D$249,MATCH(T_Equipos[[#This Row],[Num]],Idiomas!$C$202:$C$249,0))</f>
        <v>DR Congo</v>
      </c>
      <c r="C43" s="9" t="s">
        <v>143</v>
      </c>
      <c r="D43" s="9">
        <v>2</v>
      </c>
      <c r="E43" s="9"/>
      <c r="F43" s="9"/>
      <c r="G43" s="9"/>
      <c r="H43" s="9"/>
      <c r="I43" s="9"/>
      <c r="J43" s="9"/>
      <c r="K43" s="9" t="str">
        <f ca="1">Idiomas!D243</f>
        <v>Uzbekistan</v>
      </c>
      <c r="L43" s="9" t="s">
        <v>1452</v>
      </c>
      <c r="M43" s="9" t="e" vm="93">
        <v>#VALUE!</v>
      </c>
    </row>
    <row r="44" spans="1:13" ht="15" customHeight="1">
      <c r="A44" s="9">
        <v>43</v>
      </c>
      <c r="B44" s="9" t="str">
        <f ca="1">+INDEX(Idiomas!$D$202:$D$249,MATCH(T_Equipos[[#This Row],[Num]],Idiomas!$C$202:$C$249,0))</f>
        <v>Uzbekistan</v>
      </c>
      <c r="C44" s="9" t="s">
        <v>143</v>
      </c>
      <c r="D44" s="9">
        <v>3</v>
      </c>
      <c r="E44" s="9"/>
      <c r="F44" s="9"/>
      <c r="G44" s="9"/>
      <c r="H44" s="9"/>
      <c r="I44" s="9"/>
      <c r="J44" s="9"/>
      <c r="K44" s="9" t="str">
        <f ca="1">Idiomas!D244</f>
        <v>DR Congo</v>
      </c>
      <c r="L44" s="620" t="s">
        <v>1453</v>
      </c>
      <c r="M44" s="620" t="e" vm="94">
        <v>#VALUE!</v>
      </c>
    </row>
    <row r="45" spans="1:13" ht="15" customHeight="1">
      <c r="A45" s="9">
        <v>44</v>
      </c>
      <c r="B45" s="9" t="str">
        <f ca="1">+INDEX(Idiomas!$D$202:$D$249,MATCH(T_Equipos[[#This Row],[Num]],Idiomas!$C$202:$C$249,0))</f>
        <v>Colombia</v>
      </c>
      <c r="C45" s="9" t="s">
        <v>143</v>
      </c>
      <c r="D45" s="9">
        <v>4</v>
      </c>
      <c r="E45" s="9"/>
      <c r="F45" s="9"/>
      <c r="G45" s="9"/>
      <c r="H45" s="9"/>
      <c r="I45" s="9"/>
      <c r="J45" s="9"/>
      <c r="K45" s="9" t="str">
        <f ca="1">Idiomas!D245</f>
        <v>Iraq</v>
      </c>
      <c r="L45" s="620" t="s">
        <v>1454</v>
      </c>
      <c r="M45" s="620" t="e" vm="95">
        <v>#VALUE!</v>
      </c>
    </row>
    <row r="46" spans="1:13" ht="15" customHeight="1">
      <c r="A46" s="9">
        <v>45</v>
      </c>
      <c r="B46" s="9" t="str">
        <f ca="1">+INDEX(Idiomas!$D$202:$D$249,MATCH(T_Equipos[[#This Row],[Num]],Idiomas!$C$202:$C$249,0))</f>
        <v>England</v>
      </c>
      <c r="C46" s="9" t="s">
        <v>144</v>
      </c>
      <c r="D46" s="9">
        <v>1</v>
      </c>
      <c r="E46" s="9"/>
      <c r="F46" s="9"/>
      <c r="G46" s="9"/>
      <c r="H46" s="9"/>
      <c r="I46" s="9"/>
      <c r="J46" s="9"/>
      <c r="K46" s="9" t="str">
        <f ca="1">Idiomas!D246</f>
        <v>Bosnia and Herzegovina</v>
      </c>
      <c r="L46" s="621" t="s">
        <v>1455</v>
      </c>
      <c r="M46" s="621" t="e" vm="96">
        <v>#VALUE!</v>
      </c>
    </row>
    <row r="47" spans="1:13" ht="15" customHeight="1">
      <c r="A47" s="9">
        <v>46</v>
      </c>
      <c r="B47" s="9" t="str">
        <f ca="1">+INDEX(Idiomas!$D$202:$D$249,MATCH(T_Equipos[[#This Row],[Num]],Idiomas!$C$202:$C$249,0))</f>
        <v>Croatia</v>
      </c>
      <c r="C47" s="9" t="s">
        <v>144</v>
      </c>
      <c r="D47" s="9">
        <v>2</v>
      </c>
      <c r="E47" s="9"/>
      <c r="F47" s="9"/>
      <c r="G47" s="9"/>
      <c r="H47" s="9"/>
      <c r="I47" s="9"/>
      <c r="J47" s="9"/>
      <c r="K47" s="9" t="str">
        <f ca="1">Idiomas!D247</f>
        <v>Sweden</v>
      </c>
      <c r="L47" s="620" t="s">
        <v>1456</v>
      </c>
      <c r="M47" s="620" t="e" vm="97">
        <v>#VALUE!</v>
      </c>
    </row>
    <row r="48" spans="1:13" ht="15" customHeight="1">
      <c r="A48" s="9">
        <v>47</v>
      </c>
      <c r="B48" s="9" t="str">
        <f ca="1">+INDEX(Idiomas!$D$202:$D$249,MATCH(T_Equipos[[#This Row],[Num]],Idiomas!$C$202:$C$249,0))</f>
        <v>Ghana</v>
      </c>
      <c r="C48" s="9" t="s">
        <v>144</v>
      </c>
      <c r="D48" s="9">
        <v>3</v>
      </c>
      <c r="E48" s="9"/>
      <c r="F48" s="9"/>
      <c r="G48" s="9"/>
      <c r="H48" s="9"/>
      <c r="I48" s="9"/>
      <c r="J48" s="9"/>
      <c r="K48" s="9" t="str">
        <f ca="1">Idiomas!D248</f>
        <v>Turkey</v>
      </c>
      <c r="L48" s="620" t="s">
        <v>1457</v>
      </c>
      <c r="M48" s="620" t="e" vm="98">
        <v>#VALUE!</v>
      </c>
    </row>
    <row r="49" spans="1:13" ht="15" customHeight="1">
      <c r="A49" s="9">
        <v>48</v>
      </c>
      <c r="B49" s="9" t="str">
        <f ca="1">+INDEX(Idiomas!$D$202:$D$249,MATCH(T_Equipos[[#This Row],[Num]],Idiomas!$C$202:$C$249,0))</f>
        <v>Panama</v>
      </c>
      <c r="C49" s="9" t="s">
        <v>144</v>
      </c>
      <c r="D49" s="9">
        <v>4</v>
      </c>
      <c r="E49" s="9"/>
      <c r="F49" s="9"/>
      <c r="G49" s="9"/>
      <c r="H49" s="9"/>
      <c r="I49" s="9"/>
      <c r="J49" s="9"/>
      <c r="K49" s="9" t="str">
        <f ca="1">Idiomas!D249</f>
        <v>Czech Republic</v>
      </c>
      <c r="L49" s="620" t="s">
        <v>1458</v>
      </c>
      <c r="M49" s="620" t="e" vm="99">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5546875" defaultRowHeight="15"/>
  <cols>
    <col min="1" max="1" width="13.140625" style="14" bestFit="1" customWidth="1"/>
    <col min="2" max="2" width="5" style="14" customWidth="1"/>
    <col min="3" max="3" width="12.42578125" style="14" customWidth="1"/>
    <col min="4" max="4" width="13.140625" style="14" customWidth="1"/>
    <col min="5" max="5" width="12.28515625" style="14" bestFit="1" customWidth="1"/>
    <col min="6" max="6" width="10.85546875" style="14"/>
    <col min="7" max="7" width="12.28515625" style="14" bestFit="1" customWidth="1"/>
    <col min="8" max="9" width="10.85546875" style="14"/>
    <col min="10" max="10" width="13.42578125" style="14" customWidth="1"/>
    <col min="11" max="15" width="10.85546875" style="14"/>
    <col min="16" max="16" width="4.85546875" style="14" bestFit="1" customWidth="1"/>
    <col min="17" max="17" width="17.85546875" style="14" bestFit="1" customWidth="1"/>
    <col min="18" max="18" width="11.140625" style="14" bestFit="1" customWidth="1"/>
    <col min="19" max="19" width="11" style="14" bestFit="1" customWidth="1"/>
    <col min="20" max="20" width="10.28515625" style="14" bestFit="1" customWidth="1"/>
    <col min="21" max="21" width="10.42578125" style="14" customWidth="1"/>
    <col min="22" max="22" width="10.28515625" style="14" customWidth="1"/>
    <col min="23" max="23" width="3.28515625" style="14" bestFit="1" customWidth="1"/>
    <col min="24" max="26" width="10.85546875" style="14"/>
    <col min="27" max="27" width="6.42578125" style="14" customWidth="1"/>
    <col min="28" max="33" width="10.85546875" style="14"/>
    <col min="34" max="34" width="3.28515625" style="14" bestFit="1" customWidth="1"/>
    <col min="35" max="16384" width="10.85546875" style="14"/>
  </cols>
  <sheetData>
    <row r="1" spans="1:35">
      <c r="A1" s="16"/>
      <c r="B1" s="16"/>
      <c r="C1" s="16"/>
      <c r="K1" s="16" t="s">
        <v>1459</v>
      </c>
      <c r="L1" s="16" t="s">
        <v>1460</v>
      </c>
      <c r="M1" s="16" t="s">
        <v>1461</v>
      </c>
      <c r="N1" s="16" t="s">
        <v>1462</v>
      </c>
      <c r="P1" s="16" t="s">
        <v>1463</v>
      </c>
      <c r="Q1" s="16"/>
      <c r="R1" s="16"/>
      <c r="S1" s="16"/>
      <c r="T1" s="16"/>
      <c r="U1" s="16"/>
      <c r="V1" s="16"/>
      <c r="W1" s="16"/>
      <c r="X1" s="16"/>
      <c r="AA1" s="16"/>
      <c r="AB1" s="16"/>
      <c r="AC1" s="16"/>
      <c r="AD1" s="16"/>
      <c r="AE1" s="16"/>
      <c r="AF1" s="16"/>
      <c r="AG1" s="16"/>
      <c r="AH1" s="16"/>
      <c r="AI1" s="16"/>
    </row>
    <row r="2" spans="1:35">
      <c r="A2" s="16"/>
      <c r="B2" s="16"/>
      <c r="C2" s="16"/>
      <c r="K2" s="16" t="s">
        <v>1464</v>
      </c>
      <c r="L2" s="16" t="str">
        <f>Idiomas!D252</f>
        <v>United States</v>
      </c>
      <c r="M2" s="16">
        <f ca="1">+INDEX($R$3:$R$86,MATCH($L$2,$Q$3:$Q$86,0))</f>
        <v>-4</v>
      </c>
      <c r="N2" s="625">
        <f ca="1">+INDEX($S$3:$S$86,MATCH($L$2,$Q$3:$Q$86,0))</f>
        <v>0.16666666666666666</v>
      </c>
      <c r="P2" s="410" t="s">
        <v>1407</v>
      </c>
      <c r="Q2" s="410" t="s">
        <v>1460</v>
      </c>
      <c r="R2" s="410" t="s">
        <v>1465</v>
      </c>
      <c r="S2" s="410" t="s">
        <v>1466</v>
      </c>
      <c r="T2" s="410" t="s">
        <v>1467</v>
      </c>
      <c r="U2" s="410" t="s">
        <v>1468</v>
      </c>
      <c r="V2" s="410" t="s">
        <v>1469</v>
      </c>
      <c r="W2" s="623" t="s">
        <v>1470</v>
      </c>
      <c r="X2" s="410" t="s">
        <v>1467</v>
      </c>
      <c r="AA2" s="410" t="s">
        <v>1407</v>
      </c>
      <c r="AB2" s="410" t="s">
        <v>1460</v>
      </c>
      <c r="AC2" s="410" t="s">
        <v>1465</v>
      </c>
      <c r="AD2" s="410" t="s">
        <v>1466</v>
      </c>
      <c r="AE2" s="410" t="s">
        <v>1467</v>
      </c>
      <c r="AF2" s="410" t="s">
        <v>1468</v>
      </c>
      <c r="AG2" s="410" t="s">
        <v>1469</v>
      </c>
      <c r="AH2" s="623" t="s">
        <v>1470</v>
      </c>
      <c r="AI2" s="410" t="s">
        <v>790</v>
      </c>
    </row>
    <row r="3" spans="1:35" ht="15.75">
      <c r="A3" s="9" t="s">
        <v>1471</v>
      </c>
      <c r="B3" s="16"/>
      <c r="C3" s="16">
        <f ca="1">+IFERROR(INDEX($P$3:$P$86,MATCH(Home!$C$8,Horarios!$Q$3:$Q$86,0)),INDEX($P$3:$P$86,MATCH(1,$T$3:$T$86,0)))</f>
        <v>29</v>
      </c>
      <c r="K3" s="16" t="s">
        <v>1472</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75">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75">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75">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75">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75">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75">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75">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75">
      <c r="A11" s="9" t="s">
        <v>1473</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75">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75">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75">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75">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75">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75">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75">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75">
      <c r="A19" s="9" t="s">
        <v>419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75">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75">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75">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75">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75">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75">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75">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75">
      <c r="A27" s="9" t="s">
        <v>421</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75">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75">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75">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75">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75">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75">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75">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75">
      <c r="A35" s="9" t="s">
        <v>1474</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75">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75">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75">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75">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75">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75">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75">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75">
      <c r="A43" s="9" t="s">
        <v>69</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75">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1475</v>
      </c>
      <c r="B51" s="16"/>
      <c r="C51" s="594"/>
      <c r="P51" s="16">
        <v>49</v>
      </c>
      <c r="Q51" s="16" t="s">
        <v>1476</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1476</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1477</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1477</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1478</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1478</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1479</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1479</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1480</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1480</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1481</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1481</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1482</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1482</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1483</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1483</v>
      </c>
      <c r="AC58" s="16">
        <v>-5</v>
      </c>
      <c r="AD58" s="625">
        <f t="shared" si="4"/>
        <v>0.20833333333333334</v>
      </c>
      <c r="AE58" s="16">
        <v>0</v>
      </c>
      <c r="AF58" s="16">
        <f t="shared" ca="1" si="19"/>
        <v>-1</v>
      </c>
      <c r="AG58" s="625">
        <f t="shared" ca="1" si="6"/>
        <v>4.1666666666666664E-2</v>
      </c>
      <c r="AH58" s="16">
        <f t="shared" ca="1" si="20"/>
        <v>-1</v>
      </c>
      <c r="AI58" s="16"/>
    </row>
    <row r="59" spans="1:35">
      <c r="A59" s="9" t="s">
        <v>1484</v>
      </c>
      <c r="B59" s="16"/>
      <c r="C59" s="594"/>
      <c r="P59" s="16">
        <v>57</v>
      </c>
      <c r="Q59" s="16" t="s">
        <v>1485</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1485</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1486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1486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1487</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1487</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1488</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1488</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1489</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1489</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1461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1461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1490</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1490</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1491</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1491</v>
      </c>
      <c r="AC66" s="16">
        <v>2</v>
      </c>
      <c r="AD66" s="625">
        <f t="shared" si="4"/>
        <v>8.3333333333333329E-2</v>
      </c>
      <c r="AE66" s="16">
        <v>0</v>
      </c>
      <c r="AF66" s="16">
        <f t="shared" ca="1" si="29"/>
        <v>6</v>
      </c>
      <c r="AG66" s="625">
        <f t="shared" ca="1" si="6"/>
        <v>0.25</v>
      </c>
      <c r="AH66" s="16">
        <f t="shared" ca="1" si="30"/>
        <v>1</v>
      </c>
      <c r="AI66" s="16"/>
    </row>
    <row r="67" spans="1:35">
      <c r="A67" s="9" t="s">
        <v>1492</v>
      </c>
      <c r="B67" s="16"/>
      <c r="C67" s="594"/>
      <c r="P67" s="16">
        <v>65</v>
      </c>
      <c r="Q67" s="16" t="s">
        <v>1493</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1493</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1494</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1494</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1495</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1495</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1496</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1496</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1497</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1497</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1498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1498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1499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1499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1500</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1500</v>
      </c>
      <c r="AC74" s="16">
        <v>6</v>
      </c>
      <c r="AD74" s="625">
        <f t="shared" si="32"/>
        <v>0.25</v>
      </c>
      <c r="AE74" s="16">
        <v>0</v>
      </c>
      <c r="AF74" s="16">
        <f t="shared" ca="1" si="29"/>
        <v>10</v>
      </c>
      <c r="AG74" s="625">
        <f t="shared" ca="1" si="33"/>
        <v>0.41666666666666669</v>
      </c>
      <c r="AH74" s="16">
        <f t="shared" ca="1" si="30"/>
        <v>1</v>
      </c>
      <c r="AI74" s="16"/>
    </row>
    <row r="75" spans="1:35">
      <c r="A75" s="9" t="s">
        <v>1501</v>
      </c>
      <c r="B75" s="16"/>
      <c r="C75" s="594"/>
      <c r="P75" s="16">
        <v>73</v>
      </c>
      <c r="Q75" s="16" t="s">
        <v>1502</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1502</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1503</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1503</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1504</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1504</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1505</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1505</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1506</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1506</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1507</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1507</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1508</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1508</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1509</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1509</v>
      </c>
      <c r="AC82" s="16">
        <v>11</v>
      </c>
      <c r="AD82" s="625">
        <f t="shared" si="32"/>
        <v>0.45833333333333331</v>
      </c>
      <c r="AE82" s="16">
        <v>0</v>
      </c>
      <c r="AF82" s="16">
        <f t="shared" ca="1" si="29"/>
        <v>15</v>
      </c>
      <c r="AG82" s="625">
        <f t="shared" ca="1" si="33"/>
        <v>0.625</v>
      </c>
      <c r="AH82" s="16">
        <f t="shared" ca="1" si="30"/>
        <v>1</v>
      </c>
      <c r="AI82" s="16"/>
    </row>
    <row r="83" spans="1:35">
      <c r="A83" s="9" t="s">
        <v>1510</v>
      </c>
      <c r="B83" s="16"/>
      <c r="C83" s="594"/>
      <c r="P83" s="16">
        <v>81</v>
      </c>
      <c r="Q83" s="16" t="s">
        <v>1511</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1511</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1512</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1512</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1513</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1513</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1514</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1514</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1515</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1516</v>
      </c>
      <c r="B100" s="16"/>
      <c r="C100" s="594"/>
      <c r="F100" s="16" t="s">
        <v>1517</v>
      </c>
      <c r="G100" s="16"/>
      <c r="I100" s="16" t="s">
        <v>1518</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1519</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1520</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1521</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234</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126</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matejero</dc:creator>
  <cp:keywords/>
  <dc:description/>
  <cp:lastModifiedBy/>
  <cp:revision/>
  <dcterms:created xsi:type="dcterms:W3CDTF">2015-10-31T09:41:54Z</dcterms:created>
  <dcterms:modified xsi:type="dcterms:W3CDTF">2026-06-01T15:00:19Z</dcterms:modified>
  <cp:category/>
  <cp:contentStatus/>
</cp:coreProperties>
</file>